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-02\Nextcloud\FontouraXavier\Dooc\Licitações\LICITAÇÕES 2023\PREGÃO PRESENCIAL\PP 14-2023 COLETA DE LIXO\"/>
    </mc:Choice>
  </mc:AlternateContent>
  <bookViews>
    <workbookView xWindow="0" yWindow="0" windowWidth="15345" windowHeight="4635" tabRatio="802"/>
  </bookViews>
  <sheets>
    <sheet name="Resumo" sheetId="17" r:id="rId1"/>
    <sheet name="1. Coleta Domiciliar" sheetId="2" r:id="rId2"/>
    <sheet name="2. Contentores" sheetId="19" r:id="rId3"/>
    <sheet name="3. Destino Final" sheetId="20" r:id="rId4"/>
    <sheet name="4.Encargos Sociais" sheetId="8" r:id="rId5"/>
    <sheet name="5.CAGED" sheetId="5" r:id="rId6"/>
    <sheet name="6.BDI Coleta" sheetId="4" r:id="rId7"/>
    <sheet name="6.1 BDI Aterro" sheetId="21" r:id="rId8"/>
    <sheet name="7. Ton" sheetId="23" r:id="rId9"/>
    <sheet name="8. Depreciação" sheetId="6" r:id="rId10"/>
    <sheet name="9. Horários" sheetId="11" r:id="rId11"/>
    <sheet name="10. Roteiros" sheetId="22" r:id="rId12"/>
  </sheets>
  <definedNames>
    <definedName name="_LO25">#REF!</definedName>
    <definedName name="AbaDeprec">'8. Depreciação'!$A$1</definedName>
    <definedName name="AbaRemun" localSheetId="3">#REF!</definedName>
    <definedName name="AbaRemun" localSheetId="7">#REF!</definedName>
    <definedName name="AbaRemun" localSheetId="8">#REF!</definedName>
    <definedName name="AbaRemun">#REF!</definedName>
    <definedName name="_xlnm.Print_Area" localSheetId="1">'1. Coleta Domiciliar'!$A$1:$F$276</definedName>
    <definedName name="_xlnm.Print_Area" localSheetId="2">'2. Contentores'!$A$1:$F$114</definedName>
    <definedName name="_xlnm.Print_Area" localSheetId="3">'3. Destino Final'!$A$1:$F$39</definedName>
    <definedName name="_xlnm.Print_Area" localSheetId="4">'4.Encargos Sociais'!$A$1:$C$36</definedName>
    <definedName name="Horário" localSheetId="7">#REF!</definedName>
    <definedName name="Horário" localSheetId="8">#REF!</definedName>
    <definedName name="Horário">#REF!</definedName>
    <definedName name="_xlnm.Print_Titles" localSheetId="2">'2. Contentores'!$1:$7</definedName>
    <definedName name="_xlnm.Print_Titles" localSheetId="3">'3. Destino Final'!#REF!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1" l="1"/>
  <c r="H7" i="11"/>
  <c r="H5" i="11"/>
  <c r="H4" i="11"/>
  <c r="W12" i="11"/>
  <c r="W10" i="11"/>
  <c r="U8" i="11"/>
  <c r="U7" i="11"/>
  <c r="U6" i="11"/>
  <c r="U5" i="11"/>
  <c r="U4" i="11"/>
  <c r="C240" i="2" l="1"/>
  <c r="E240" i="2" s="1"/>
  <c r="C238" i="2"/>
  <c r="D210" i="2"/>
  <c r="D147" i="2"/>
  <c r="D146" i="2"/>
  <c r="D145" i="2"/>
  <c r="E145" i="2" s="1"/>
  <c r="D144" i="2"/>
  <c r="E144" i="2" s="1"/>
  <c r="C148" i="2"/>
  <c r="C136" i="2"/>
  <c r="C147" i="2"/>
  <c r="C146" i="2"/>
  <c r="C143" i="2"/>
  <c r="C142" i="2"/>
  <c r="E133" i="2"/>
  <c r="E132" i="2"/>
  <c r="E131" i="2"/>
  <c r="E130" i="2"/>
  <c r="E129" i="2"/>
  <c r="E128" i="2"/>
  <c r="E127" i="2"/>
  <c r="E126" i="2"/>
  <c r="E125" i="2"/>
  <c r="E124" i="2"/>
  <c r="C105" i="2"/>
  <c r="C12" i="23"/>
  <c r="C14" i="23" s="1"/>
  <c r="C16" i="23" s="1"/>
  <c r="C18" i="23" s="1"/>
  <c r="C19" i="23" l="1"/>
  <c r="C20" i="23" s="1"/>
  <c r="C20" i="20" s="1"/>
  <c r="N13" i="11" l="1"/>
  <c r="N16" i="11" s="1"/>
  <c r="L13" i="11"/>
  <c r="L14" i="11" s="1"/>
  <c r="H11" i="11"/>
  <c r="H12" i="11"/>
  <c r="H10" i="11"/>
  <c r="G12" i="11"/>
  <c r="G11" i="11"/>
  <c r="G10" i="11"/>
  <c r="H9" i="11"/>
  <c r="G9" i="11"/>
  <c r="G8" i="11"/>
  <c r="G7" i="11"/>
  <c r="H6" i="11"/>
  <c r="G6" i="11"/>
  <c r="G5" i="11"/>
  <c r="G4" i="11"/>
  <c r="L18" i="11" l="1"/>
  <c r="N14" i="11"/>
  <c r="M18" i="11"/>
  <c r="L16" i="11"/>
  <c r="D37" i="22"/>
  <c r="K21" i="22" s="1"/>
  <c r="K24" i="22" s="1"/>
  <c r="S8" i="22" s="1"/>
  <c r="D50" i="22"/>
  <c r="K28" i="22" s="1"/>
  <c r="K31" i="22" s="1"/>
  <c r="S10" i="22" s="1"/>
  <c r="D11" i="22"/>
  <c r="K6" i="22" s="1"/>
  <c r="K9" i="22" s="1"/>
  <c r="D62" i="22"/>
  <c r="K36" i="22" s="1"/>
  <c r="K40" i="22" s="1"/>
  <c r="S21" i="22" s="1"/>
  <c r="D24" i="22"/>
  <c r="K13" i="22" s="1"/>
  <c r="K17" i="22" s="1"/>
  <c r="S19" i="22" s="1"/>
  <c r="S23" i="22" l="1"/>
  <c r="S6" i="22"/>
  <c r="S12" i="22" l="1"/>
  <c r="S13" i="22" s="1"/>
  <c r="B198" i="2" s="1"/>
  <c r="S24" i="22"/>
  <c r="E239" i="2" l="1"/>
  <c r="C13" i="21" l="1"/>
  <c r="C18" i="21" s="1"/>
  <c r="C31" i="20" s="1"/>
  <c r="F11" i="21"/>
  <c r="E11" i="21"/>
  <c r="D11" i="21"/>
  <c r="E20" i="20"/>
  <c r="F21" i="20" s="1"/>
  <c r="F23" i="20" s="1"/>
  <c r="A12" i="20"/>
  <c r="A11" i="20"/>
  <c r="E11" i="20" l="1"/>
  <c r="F26" i="20"/>
  <c r="D31" i="20" l="1"/>
  <c r="E31" i="20" s="1"/>
  <c r="F32" i="20" s="1"/>
  <c r="F34" i="20" s="1"/>
  <c r="E12" i="20" s="1"/>
  <c r="E13" i="20" s="1"/>
  <c r="F11" i="20" s="1"/>
  <c r="F12" i="20" l="1"/>
  <c r="F13" i="20" s="1"/>
  <c r="F37" i="20"/>
  <c r="E38" i="20" l="1"/>
  <c r="C6" i="17"/>
  <c r="C91" i="19" l="1"/>
  <c r="E91" i="19" s="1"/>
  <c r="D92" i="19" s="1"/>
  <c r="E92" i="19" s="1"/>
  <c r="C89" i="19"/>
  <c r="E89" i="19" s="1"/>
  <c r="D90" i="19" s="1"/>
  <c r="E90" i="19" s="1"/>
  <c r="D83" i="19"/>
  <c r="D81" i="19"/>
  <c r="D79" i="19"/>
  <c r="D77" i="19"/>
  <c r="D75" i="19"/>
  <c r="C75" i="19"/>
  <c r="C79" i="19" s="1"/>
  <c r="E67" i="19"/>
  <c r="E65" i="19"/>
  <c r="E64" i="19"/>
  <c r="D63" i="19"/>
  <c r="E63" i="19" s="1"/>
  <c r="D66" i="19" s="1"/>
  <c r="E66" i="19" s="1"/>
  <c r="F67" i="19" s="1"/>
  <c r="E59" i="19"/>
  <c r="E52" i="19"/>
  <c r="D47" i="19"/>
  <c r="C50" i="19" s="1"/>
  <c r="D51" i="19" s="1"/>
  <c r="E51" i="19" s="1"/>
  <c r="E43" i="19"/>
  <c r="C40" i="19"/>
  <c r="E36" i="19"/>
  <c r="C54" i="19" s="1"/>
  <c r="C35" i="19"/>
  <c r="E31" i="19"/>
  <c r="D34" i="19" s="1"/>
  <c r="E34" i="19" s="1"/>
  <c r="D35" i="19" s="1"/>
  <c r="E35" i="19" s="1"/>
  <c r="E23" i="19"/>
  <c r="C42" i="19" s="1"/>
  <c r="A22" i="19"/>
  <c r="A17" i="19"/>
  <c r="A16" i="19"/>
  <c r="A15" i="19"/>
  <c r="A14" i="19"/>
  <c r="A13" i="19"/>
  <c r="E79" i="19" l="1"/>
  <c r="C77" i="19"/>
  <c r="E77" i="19" s="1"/>
  <c r="D84" i="19"/>
  <c r="F93" i="19"/>
  <c r="E16" i="19" s="1"/>
  <c r="C58" i="19"/>
  <c r="E47" i="19"/>
  <c r="C83" i="19"/>
  <c r="E83" i="19" s="1"/>
  <c r="D39" i="19"/>
  <c r="E39" i="19" s="1"/>
  <c r="D40" i="19" s="1"/>
  <c r="E40" i="19" s="1"/>
  <c r="E41" i="19" s="1"/>
  <c r="D42" i="19" s="1"/>
  <c r="E42" i="19" s="1"/>
  <c r="F43" i="19" s="1"/>
  <c r="C49" i="19"/>
  <c r="C81" i="19"/>
  <c r="E81" i="19" s="1"/>
  <c r="E75" i="19"/>
  <c r="E14" i="19" l="1"/>
  <c r="C55" i="19"/>
  <c r="D56" i="19" s="1"/>
  <c r="E56" i="19" s="1"/>
  <c r="E57" i="19" s="1"/>
  <c r="D58" i="19" s="1"/>
  <c r="E58" i="19" s="1"/>
  <c r="F59" i="19" s="1"/>
  <c r="F85" i="19"/>
  <c r="E15" i="19" l="1"/>
  <c r="E13" i="19" s="1"/>
  <c r="F95" i="19"/>
  <c r="D100" i="19" l="1"/>
  <c r="A15" i="2" l="1"/>
  <c r="C115" i="2"/>
  <c r="E115" i="2" s="1"/>
  <c r="D111" i="2" l="1"/>
  <c r="D105" i="2"/>
  <c r="C99" i="2"/>
  <c r="C98" i="2"/>
  <c r="E92" i="2"/>
  <c r="C185" i="2" l="1"/>
  <c r="D104" i="2"/>
  <c r="D50" i="2" l="1"/>
  <c r="C49" i="2"/>
  <c r="C77" i="2" l="1"/>
  <c r="C13" i="4" l="1"/>
  <c r="D204" i="2"/>
  <c r="G17" i="11"/>
  <c r="G20" i="11" s="1"/>
  <c r="G22" i="11" s="1"/>
  <c r="G24" i="11" s="1"/>
  <c r="B42" i="2" s="1"/>
  <c r="G29" i="11"/>
  <c r="G32" i="11" s="1"/>
  <c r="G34" i="11" s="1"/>
  <c r="G36" i="11" s="1"/>
  <c r="E83" i="2" s="1"/>
  <c r="E194" i="2" l="1"/>
  <c r="E150" i="2"/>
  <c r="E170" i="2"/>
  <c r="E186" i="2"/>
  <c r="E112" i="2"/>
  <c r="E252" i="2"/>
  <c r="E56" i="2"/>
  <c r="D78" i="2" l="1"/>
  <c r="E78" i="2" s="1"/>
  <c r="D77" i="2"/>
  <c r="E77" i="2" s="1"/>
  <c r="E50" i="2"/>
  <c r="D49" i="2"/>
  <c r="E49" i="2" s="1"/>
  <c r="C191" i="2"/>
  <c r="C190" i="2"/>
  <c r="C192" i="2"/>
  <c r="A27" i="2" l="1"/>
  <c r="A26" i="2"/>
  <c r="A25" i="2"/>
  <c r="A17" i="2"/>
  <c r="A16" i="2"/>
  <c r="A7" i="2"/>
  <c r="C161" i="2" l="1"/>
  <c r="C166" i="2"/>
  <c r="E36" i="2" l="1"/>
  <c r="E35" i="2"/>
  <c r="E116" i="2" s="1"/>
  <c r="F116" i="2" s="1"/>
  <c r="E15" i="2" s="1"/>
  <c r="E34" i="2"/>
  <c r="E33" i="2"/>
  <c r="E40" i="2"/>
  <c r="C104" i="2" l="1"/>
  <c r="C180" i="2"/>
  <c r="D212" i="2"/>
  <c r="D208" i="2"/>
  <c r="D206" i="2"/>
  <c r="D142" i="2" l="1"/>
  <c r="E142" i="2" s="1"/>
  <c r="E134" i="2"/>
  <c r="E135" i="2"/>
  <c r="C227" i="2" l="1"/>
  <c r="A24" i="2"/>
  <c r="A23" i="2"/>
  <c r="A22" i="2"/>
  <c r="A21" i="2"/>
  <c r="A20" i="2"/>
  <c r="A19" i="2"/>
  <c r="A18" i="2"/>
  <c r="A14" i="2"/>
  <c r="A13" i="2"/>
  <c r="A12" i="2"/>
  <c r="A11" i="2"/>
  <c r="A10" i="2"/>
  <c r="A9" i="2"/>
  <c r="A8" i="2"/>
  <c r="C17" i="8"/>
  <c r="E137" i="2"/>
  <c r="E68" i="2"/>
  <c r="D174" i="2"/>
  <c r="C18" i="4"/>
  <c r="C100" i="19" s="1"/>
  <c r="E100" i="19" s="1"/>
  <c r="F101" i="19" s="1"/>
  <c r="F103" i="19" s="1"/>
  <c r="F11" i="4"/>
  <c r="E11" i="4"/>
  <c r="D11" i="4"/>
  <c r="C14" i="8"/>
  <c r="C34" i="5"/>
  <c r="C29" i="5"/>
  <c r="C28" i="5"/>
  <c r="E72" i="2"/>
  <c r="D99" i="2" s="1"/>
  <c r="E99" i="2" s="1"/>
  <c r="C225" i="2"/>
  <c r="E225" i="2" s="1"/>
  <c r="C202" i="2"/>
  <c r="C204" i="2" s="1"/>
  <c r="D202" i="2"/>
  <c r="D213" i="2" s="1"/>
  <c r="E158" i="2"/>
  <c r="D179" i="2"/>
  <c r="C167" i="2"/>
  <c r="C162" i="2"/>
  <c r="C62" i="2"/>
  <c r="D60" i="2"/>
  <c r="C248" i="2"/>
  <c r="C250" i="2" s="1"/>
  <c r="E250" i="2" s="1"/>
  <c r="D251" i="2" s="1"/>
  <c r="E251" i="2" s="1"/>
  <c r="C163" i="2"/>
  <c r="C179" i="2" s="1"/>
  <c r="A33" i="2"/>
  <c r="A34" i="2"/>
  <c r="A35" i="2"/>
  <c r="A36" i="2"/>
  <c r="A40" i="2"/>
  <c r="E47" i="2"/>
  <c r="D98" i="2" s="1"/>
  <c r="E98" i="2" s="1"/>
  <c r="C63" i="2"/>
  <c r="A104" i="2"/>
  <c r="A110" i="2" s="1"/>
  <c r="A105" i="2"/>
  <c r="A111" i="2" s="1"/>
  <c r="D143" i="2"/>
  <c r="E143" i="2" s="1"/>
  <c r="E146" i="2"/>
  <c r="E147" i="2"/>
  <c r="D148" i="2"/>
  <c r="E148" i="2" s="1"/>
  <c r="E223" i="2"/>
  <c r="E192" i="2"/>
  <c r="E191" i="2"/>
  <c r="E235" i="2"/>
  <c r="E238" i="2"/>
  <c r="E236" i="2"/>
  <c r="E237" i="2"/>
  <c r="E204" i="2" l="1"/>
  <c r="C210" i="2"/>
  <c r="E210" i="2" s="1"/>
  <c r="E17" i="19"/>
  <c r="E18" i="19" s="1"/>
  <c r="F106" i="19"/>
  <c r="C261" i="2"/>
  <c r="D75" i="2"/>
  <c r="E75" i="2" s="1"/>
  <c r="E79" i="2" s="1"/>
  <c r="D161" i="2"/>
  <c r="E161" i="2" s="1"/>
  <c r="D190" i="2"/>
  <c r="G28" i="5"/>
  <c r="C39" i="5"/>
  <c r="E37" i="5"/>
  <c r="D37" i="5" s="1"/>
  <c r="D38" i="5" s="1"/>
  <c r="C38" i="5" s="1"/>
  <c r="E87" i="2"/>
  <c r="C208" i="2"/>
  <c r="E208" i="2" s="1"/>
  <c r="D62" i="2"/>
  <c r="E62" i="2" s="1"/>
  <c r="C212" i="2"/>
  <c r="E212" i="2" s="1"/>
  <c r="F241" i="2"/>
  <c r="F243" i="2" s="1"/>
  <c r="E25" i="2" s="1"/>
  <c r="E105" i="2"/>
  <c r="E202" i="2"/>
  <c r="E60" i="2"/>
  <c r="E163" i="2"/>
  <c r="C181" i="2" s="1"/>
  <c r="D136" i="2"/>
  <c r="E104" i="2"/>
  <c r="E37" i="2"/>
  <c r="E110" i="2"/>
  <c r="E179" i="2"/>
  <c r="E111" i="2"/>
  <c r="D51" i="2"/>
  <c r="E51" i="2" s="1"/>
  <c r="E52" i="2" s="1"/>
  <c r="C149" i="2"/>
  <c r="C206" i="2"/>
  <c r="E206" i="2" s="1"/>
  <c r="C218" i="2"/>
  <c r="E218" i="2" s="1"/>
  <c r="F219" i="2" s="1"/>
  <c r="E23" i="2" s="1"/>
  <c r="E248" i="2"/>
  <c r="D249" i="2" s="1"/>
  <c r="E249" i="2" s="1"/>
  <c r="F252" i="2" s="1"/>
  <c r="F254" i="2" s="1"/>
  <c r="E26" i="2" s="1"/>
  <c r="E174" i="2"/>
  <c r="D226" i="2"/>
  <c r="E226" i="2" s="1"/>
  <c r="D227" i="2" s="1"/>
  <c r="E227" i="2" s="1"/>
  <c r="F228" i="2" s="1"/>
  <c r="E24" i="2" s="1"/>
  <c r="D149" i="2"/>
  <c r="C5" i="17" l="1"/>
  <c r="F114" i="19"/>
  <c r="F111" i="19"/>
  <c r="F17" i="19"/>
  <c r="F13" i="19"/>
  <c r="F15" i="19"/>
  <c r="F16" i="19"/>
  <c r="F14" i="19"/>
  <c r="C32" i="8"/>
  <c r="D53" i="2"/>
  <c r="F100" i="2"/>
  <c r="E12" i="2" s="1"/>
  <c r="D162" i="2"/>
  <c r="E162" i="2" s="1"/>
  <c r="E190" i="2"/>
  <c r="D193" i="2" s="1"/>
  <c r="E193" i="2" s="1"/>
  <c r="F194" i="2" s="1"/>
  <c r="E21" i="2" s="1"/>
  <c r="C176" i="2"/>
  <c r="C177" i="2" s="1"/>
  <c r="K35" i="5"/>
  <c r="K36" i="5" s="1"/>
  <c r="K37" i="5" s="1"/>
  <c r="K38" i="5" s="1"/>
  <c r="K39" i="5" s="1"/>
  <c r="K40" i="5" s="1"/>
  <c r="K41" i="5" s="1"/>
  <c r="C22" i="8"/>
  <c r="C31" i="8" s="1"/>
  <c r="F37" i="5"/>
  <c r="G37" i="5" s="1"/>
  <c r="C37" i="5"/>
  <c r="D63" i="2"/>
  <c r="E63" i="2" s="1"/>
  <c r="F106" i="2"/>
  <c r="E13" i="2" s="1"/>
  <c r="F112" i="2"/>
  <c r="E149" i="2"/>
  <c r="F150" i="2" s="1"/>
  <c r="E136" i="2"/>
  <c r="F137" i="2" s="1"/>
  <c r="D166" i="2"/>
  <c r="E166" i="2" s="1"/>
  <c r="D167" i="2" s="1"/>
  <c r="E167" i="2" s="1"/>
  <c r="F214" i="2"/>
  <c r="E22" i="2" s="1"/>
  <c r="D80" i="2"/>
  <c r="C33" i="8" l="1"/>
  <c r="F18" i="19"/>
  <c r="E14" i="2"/>
  <c r="D178" i="2"/>
  <c r="E178" i="2" s="1"/>
  <c r="C29" i="8"/>
  <c r="G38" i="5"/>
  <c r="G32" i="5"/>
  <c r="E168" i="2"/>
  <c r="D169" i="2" s="1"/>
  <c r="E169" i="2" s="1"/>
  <c r="F170" i="2" s="1"/>
  <c r="E19" i="2" s="1"/>
  <c r="C182" i="2"/>
  <c r="D183" i="2" s="1"/>
  <c r="E183" i="2" s="1"/>
  <c r="F152" i="2"/>
  <c r="E16" i="2" s="1"/>
  <c r="E88" i="2"/>
  <c r="D89" i="2" s="1"/>
  <c r="E64" i="2"/>
  <c r="C34" i="8" l="1"/>
  <c r="C89" i="2" s="1"/>
  <c r="C53" i="2"/>
  <c r="E53" i="2" s="1"/>
  <c r="E54" i="2" s="1"/>
  <c r="D55" i="2" s="1"/>
  <c r="E55" i="2" s="1"/>
  <c r="F56" i="2" s="1"/>
  <c r="E8" i="2" s="1"/>
  <c r="C80" i="2"/>
  <c r="E184" i="2"/>
  <c r="D185" i="2" s="1"/>
  <c r="E185" i="2" s="1"/>
  <c r="F186" i="2" s="1"/>
  <c r="E20" i="2" s="1"/>
  <c r="E18" i="2" s="1"/>
  <c r="C65" i="2"/>
  <c r="D65" i="2"/>
  <c r="F231" i="2" l="1"/>
  <c r="E17" i="2" s="1"/>
  <c r="E65" i="2"/>
  <c r="E66" i="2" s="1"/>
  <c r="D67" i="2" s="1"/>
  <c r="E67" i="2" s="1"/>
  <c r="F68" i="2" s="1"/>
  <c r="E9" i="2" s="1"/>
  <c r="E89" i="2"/>
  <c r="E90" i="2" s="1"/>
  <c r="D91" i="2" s="1"/>
  <c r="E91" i="2" s="1"/>
  <c r="E80" i="2"/>
  <c r="E81" i="2" s="1"/>
  <c r="D82" i="2" s="1"/>
  <c r="E82" i="2" s="1"/>
  <c r="F83" i="2" s="1"/>
  <c r="E10" i="2" s="1"/>
  <c r="F92" i="2" l="1"/>
  <c r="F118" i="2" s="1"/>
  <c r="E11" i="2" l="1"/>
  <c r="F256" i="2" l="1"/>
  <c r="D261" i="2" s="1"/>
  <c r="E261" i="2" s="1"/>
  <c r="F262" i="2" s="1"/>
  <c r="F264" i="2" s="1"/>
  <c r="E27" i="2" s="1"/>
  <c r="E7" i="2"/>
  <c r="E28" i="2" l="1"/>
  <c r="F26" i="2" s="1"/>
  <c r="F267" i="2"/>
  <c r="F272" i="2" s="1"/>
  <c r="F20" i="2" l="1"/>
  <c r="F24" i="2"/>
  <c r="F8" i="2"/>
  <c r="F12" i="2"/>
  <c r="F9" i="2"/>
  <c r="F7" i="2"/>
  <c r="F15" i="2"/>
  <c r="F19" i="2"/>
  <c r="F25" i="2"/>
  <c r="F23" i="2"/>
  <c r="C4" i="17"/>
  <c r="F14" i="2"/>
  <c r="F27" i="2"/>
  <c r="F21" i="2"/>
  <c r="F18" i="2"/>
  <c r="F17" i="2"/>
  <c r="F16" i="2"/>
  <c r="F22" i="2"/>
  <c r="F13" i="2"/>
  <c r="F10" i="2"/>
  <c r="F11" i="2"/>
  <c r="C7" i="17" l="1"/>
  <c r="F28" i="2"/>
</calcChain>
</file>

<file path=xl/sharedStrings.xml><?xml version="1.0" encoding="utf-8"?>
<sst xmlns="http://schemas.openxmlformats.org/spreadsheetml/2006/main" count="1084" uniqueCount="462">
  <si>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</si>
  <si>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</si>
  <si>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</si>
  <si>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</si>
  <si>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</si>
  <si>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</si>
  <si>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</si>
  <si>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</si>
  <si>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</si>
  <si>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</si>
  <si>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</si>
  <si>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</si>
  <si>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</si>
  <si>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</si>
  <si>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</si>
  <si>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</si>
  <si>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</si>
  <si>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</si>
  <si>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</si>
  <si>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</si>
  <si>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</si>
  <si>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</si>
  <si>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</si>
  <si>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</si>
  <si>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</si>
  <si>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</si>
  <si>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</si>
  <si>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</si>
  <si>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</si>
  <si>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</si>
  <si>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Boné</t>
  </si>
  <si>
    <t>Luva de proteção</t>
  </si>
  <si>
    <t>R$/tonelada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</si>
  <si>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</si>
  <si>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</si>
  <si>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</si>
  <si>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</si>
  <si>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</si>
  <si>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</si>
  <si>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</si>
  <si>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</si>
  <si>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</si>
  <si>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</si>
  <si>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</si>
  <si>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</si>
  <si>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</si>
  <si>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</si>
  <si>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</si>
  <si>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</si>
  <si>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</si>
  <si>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</si>
  <si>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</si>
  <si>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</si>
  <si>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</si>
  <si>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</si>
  <si>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cj</t>
  </si>
  <si>
    <t>Total de mão-de-obra (postos de trabalho)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</si>
  <si>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</si>
  <si>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</si>
  <si>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</si>
  <si>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</si>
  <si>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</si>
  <si>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</si>
  <si>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</si>
  <si>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</si>
  <si>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</si>
  <si>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</si>
  <si>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</si>
  <si>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</si>
  <si>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</si>
  <si>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</si>
  <si>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</si>
  <si>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</si>
  <si>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</si>
  <si>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</si>
  <si>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</si>
  <si>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</si>
  <si>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</si>
  <si>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</si>
  <si>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</si>
  <si>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</si>
  <si>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</si>
  <si>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</si>
  <si>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</si>
  <si>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Fórmula para o cálculo do BDI:</t>
  </si>
  <si>
    <t>{[(1+AC+SRG) x (1+L) x (1+DF)] / (1-T)} -1</t>
  </si>
  <si>
    <t>Resultado do cálculo do BDI: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</si>
  <si>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</si>
  <si>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</si>
  <si>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</si>
  <si>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</si>
  <si>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</si>
  <si>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</si>
  <si>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r>
      <t>3.1. Veículo Coletor Compactador</t>
    </r>
    <r>
      <rPr>
        <sz val="10"/>
        <color indexed="10"/>
        <rFont val="Arial"/>
        <family val="2"/>
      </rPr>
      <t xml:space="preserve"> xx</t>
    </r>
    <r>
      <rPr>
        <sz val="10"/>
        <rFont val="Arial"/>
        <family val="2"/>
      </rPr>
      <t xml:space="preserve"> m³</t>
    </r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</si>
  <si>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</si>
  <si>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</si>
  <si>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</si>
  <si>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</si>
  <si>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 contabilizada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</si>
  <si>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</si>
  <si>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</si>
  <si>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</si>
  <si>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</si>
  <si>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</si>
  <si>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</si>
  <si>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</si>
  <si>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</si>
  <si>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Custo do chassis</t>
  </si>
  <si>
    <t>Custo do compactador</t>
  </si>
  <si>
    <t>3.1.2. Remuneração do Capital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</si>
  <si>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</si>
  <si>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</si>
  <si>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</si>
  <si>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</si>
  <si>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</si>
  <si>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</si>
  <si>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</si>
  <si>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</si>
  <si>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</si>
  <si>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</si>
  <si>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</si>
  <si>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</si>
  <si>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</si>
  <si>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</si>
  <si>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</si>
  <si>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</si>
  <si>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</si>
  <si>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</si>
  <si>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</si>
  <si>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</si>
  <si>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Rotatividade</t>
  </si>
  <si>
    <t>Demitidos s/ Justa Causa em relação ao Estoque Médio</t>
  </si>
  <si>
    <t>Dias ano</t>
  </si>
  <si>
    <t>Estoque Médio</t>
  </si>
  <si>
    <t>Multa FGTS</t>
  </si>
  <si>
    <t>Fração de tempo para gozo férias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</si>
  <si>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</si>
  <si>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</si>
  <si>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</si>
  <si>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</si>
  <si>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</si>
  <si>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</si>
  <si>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</si>
  <si>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</si>
  <si>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</si>
  <si>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</si>
  <si>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</si>
  <si>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</si>
  <si>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</si>
  <si>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</si>
  <si>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</si>
  <si>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</si>
  <si>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</si>
  <si>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</si>
  <si>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</si>
  <si>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</si>
  <si>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</si>
  <si>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</si>
  <si>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</si>
  <si>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</si>
  <si>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</si>
  <si>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</si>
  <si>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</si>
  <si>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</si>
  <si>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</si>
  <si>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</si>
  <si>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</si>
  <si>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</si>
  <si>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</si>
  <si>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</si>
  <si>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</si>
  <si>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</si>
  <si>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</si>
  <si>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</si>
  <si>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</si>
  <si>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</si>
  <si>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</si>
  <si>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</si>
  <si>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</si>
  <si>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</si>
  <si>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</si>
  <si>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</si>
  <si>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</si>
  <si>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</si>
  <si>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</si>
  <si>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</si>
  <si>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</si>
  <si>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</si>
  <si>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</si>
  <si>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</si>
  <si>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</si>
  <si>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</si>
  <si>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</si>
  <si>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</si>
  <si>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</si>
  <si>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</si>
  <si>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</si>
  <si>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</si>
  <si>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</si>
  <si>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</si>
  <si>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</si>
  <si>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</si>
  <si>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</si>
  <si>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</si>
  <si>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</si>
  <si>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</si>
  <si>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</si>
  <si>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</si>
  <si>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</si>
  <si>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</si>
  <si>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</si>
  <si>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</si>
  <si>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</si>
  <si>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</si>
  <si>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</si>
  <si>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</si>
  <si>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Piso da categoria (1)</t>
  </si>
  <si>
    <t>Salário mínimo nacional (2)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</si>
  <si>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</si>
  <si>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</si>
  <si>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</si>
  <si>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</si>
  <si>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</si>
  <si>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</si>
  <si>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</si>
  <si>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</si>
  <si>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</si>
  <si>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</si>
  <si>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</si>
  <si>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</si>
  <si>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 xml:space="preserve">2. Composição dos Encargos Sociais 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</si>
  <si>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</si>
  <si>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</si>
  <si>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</si>
  <si>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</si>
  <si>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</si>
  <si>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</si>
  <si>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</si>
  <si>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</si>
  <si>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</si>
  <si>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</si>
  <si>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</si>
  <si>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</si>
  <si>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</si>
  <si>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</si>
  <si>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</si>
  <si>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</si>
  <si>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</si>
  <si>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</si>
  <si>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</si>
  <si>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</si>
  <si>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</si>
  <si>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</si>
  <si>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Estoque recuperado início do Período 01-09-2016</t>
  </si>
  <si>
    <t>Estoque recuperado final do Período 31-08-2017</t>
  </si>
  <si>
    <t>Variação Emprego Absoluta de 01-09-2016 a 31-08-2017</t>
  </si>
  <si>
    <t>i</t>
  </si>
  <si>
    <t>Depreciação Média</t>
  </si>
  <si>
    <t xml:space="preserve">Nr. Func. </t>
  </si>
  <si>
    <t xml:space="preserve">Cargo </t>
  </si>
  <si>
    <t xml:space="preserve">Entrada </t>
  </si>
  <si>
    <t>Saída</t>
  </si>
  <si>
    <t>Total Horas</t>
  </si>
  <si>
    <t xml:space="preserve">Coletor </t>
  </si>
  <si>
    <t xml:space="preserve">Total de horas por coletor </t>
  </si>
  <si>
    <t>Total de dias por semana (03 dias)</t>
  </si>
  <si>
    <t xml:space="preserve">Total de horas por semana </t>
  </si>
  <si>
    <t xml:space="preserve">Dias úteis semana </t>
  </si>
  <si>
    <t>Total de dias com (DSR) Descanso Semanal Remunerado</t>
  </si>
  <si>
    <t>Total de horas/dia com (DSR)</t>
  </si>
  <si>
    <t xml:space="preserve">Total de dias no mês (30 dias) </t>
  </si>
  <si>
    <t>Total geral de horas mês com (DSR)</t>
  </si>
  <si>
    <t>Cargo: Motorista</t>
  </si>
  <si>
    <t xml:space="preserve">Total de horas por motorista </t>
  </si>
  <si>
    <t xml:space="preserve">Cargo: Coletor de lixo orgânico </t>
  </si>
  <si>
    <t xml:space="preserve">Dias </t>
  </si>
  <si>
    <t>Total de dias por semana (04 dias)</t>
  </si>
  <si>
    <t>Tributos - PIS/COFINS/CPP</t>
  </si>
  <si>
    <t xml:space="preserve">Destinação Final </t>
  </si>
  <si>
    <t xml:space="preserve">Ton. </t>
  </si>
  <si>
    <t>Custo Mensal com Destinação Final (R$/mês)</t>
  </si>
  <si>
    <t>Horas extras mensal feriados (100% sobre valor hora)</t>
  </si>
  <si>
    <t xml:space="preserve">hrs </t>
  </si>
  <si>
    <t xml:space="preserve">Coleta Convencional </t>
  </si>
  <si>
    <t xml:space="preserve">Ordem </t>
  </si>
  <si>
    <t xml:space="preserve">Serviço </t>
  </si>
  <si>
    <t>Projeto Total R$</t>
  </si>
  <si>
    <t xml:space="preserve">Total Geral </t>
  </si>
  <si>
    <t xml:space="preserve">Fator de utilização </t>
  </si>
  <si>
    <t>1.1. Coletor Turno Dia/noite</t>
  </si>
  <si>
    <t xml:space="preserve">Coleta, transporte e destino de resíduos sólidos </t>
  </si>
  <si>
    <t>Composição do BDI - Benefícios e Despesas Indiretas</t>
  </si>
  <si>
    <t>Depreciação Referencial TCE/RS (%)</t>
  </si>
  <si>
    <t>1.2. Motorista Turno do Dia/noite</t>
  </si>
  <si>
    <t>1.3. Encarregado</t>
  </si>
  <si>
    <t xml:space="preserve">Transporte até aterro </t>
  </si>
  <si>
    <t xml:space="preserve">Planilha com os horários dos funcionários coleta de resíduos sólidos </t>
  </si>
  <si>
    <t>1.4. Vale Transporte</t>
  </si>
  <si>
    <t>1.5. Vale-refeição (diário)</t>
  </si>
  <si>
    <t>1.6. Auxílio Alimentação (mensal)</t>
  </si>
  <si>
    <t xml:space="preserve">1.7. Plano de Benefício Social  </t>
  </si>
  <si>
    <t xml:space="preserve">Plano de Benefício Social </t>
  </si>
  <si>
    <t>Fator de util.</t>
  </si>
  <si>
    <t>1. Esta planilha é somente um modelo-base. Qualquer custo previsto no edital e não contemplado nesta planilha deverá ser devidamente incluído</t>
  </si>
  <si>
    <t>3. As células azuis deverão ter seus valores preenchidos em outra planilha do arquivo.</t>
  </si>
  <si>
    <t>Equipamentos</t>
  </si>
  <si>
    <t>Total de Contentores</t>
  </si>
  <si>
    <t xml:space="preserve">1. Contentores </t>
  </si>
  <si>
    <t>1.1.1. Depreciação</t>
  </si>
  <si>
    <t xml:space="preserve">Custo de aquisição dos contentores </t>
  </si>
  <si>
    <t xml:space="preserve">Vida útil do contentor </t>
  </si>
  <si>
    <t xml:space="preserve">Idade do contentor </t>
  </si>
  <si>
    <t>Depreciação do contentor</t>
  </si>
  <si>
    <t xml:space="preserve">Depreciação mensal contentor </t>
  </si>
  <si>
    <t xml:space="preserve">Total </t>
  </si>
  <si>
    <t>1.1.2. Remuneração do Capital</t>
  </si>
  <si>
    <t>Custo dos contentores</t>
  </si>
  <si>
    <t>Valor do container proposto (V0)</t>
  </si>
  <si>
    <t xml:space="preserve">Investimento médio total dos contentores </t>
  </si>
  <si>
    <t>Remuneração mensal de capital dos contentores</t>
  </si>
  <si>
    <t xml:space="preserve">1.1.3 Lavagem e manutenção dos contentores </t>
  </si>
  <si>
    <t>Custo de lavagem</t>
  </si>
  <si>
    <t>Custo mensal com lavagem de contentores</t>
  </si>
  <si>
    <t>Custo mensal com manutenção, reposição e materiais</t>
  </si>
  <si>
    <t>Custo de perdas e reposição</t>
  </si>
  <si>
    <t>2. Benefícios e Despesas Indiretas - BDI</t>
  </si>
  <si>
    <t xml:space="preserve">Quantidade de contentores mês: </t>
  </si>
  <si>
    <t>unidades</t>
  </si>
  <si>
    <t>PREÇO POR CONTAINER:  [A/B]</t>
  </si>
  <si>
    <t>R$/UNIDADE</t>
  </si>
  <si>
    <t xml:space="preserve">Custo Unitário por contentor </t>
  </si>
  <si>
    <t>Prefeitura Municipal de Fontoura Xavier</t>
  </si>
  <si>
    <t xml:space="preserve">Contentores </t>
  </si>
  <si>
    <t>2. Locação, Lavagem e Manutenção de Contentores</t>
  </si>
  <si>
    <t>PREÇO TOTAL MENSAL COM O DESTINO FINAL</t>
  </si>
  <si>
    <t xml:space="preserve">1. Destinação final </t>
  </si>
  <si>
    <t xml:space="preserve">Preço total por Ton em reais </t>
  </si>
  <si>
    <t xml:space="preserve">3. Destino Final </t>
  </si>
  <si>
    <t xml:space="preserve">Destino final </t>
  </si>
  <si>
    <t xml:space="preserve">Periodicidade: Segundas, terças, quintas e sexta-feiras </t>
  </si>
  <si>
    <t xml:space="preserve">Pedágio </t>
  </si>
  <si>
    <t xml:space="preserve">unidade </t>
  </si>
  <si>
    <t xml:space="preserve">Lavagem caminhões </t>
  </si>
  <si>
    <t>6. Benefícios e Despesas Indiretas - BDI</t>
  </si>
  <si>
    <t>PREFEITURA MUNICIPAL DE FONTOURA XAVIER</t>
  </si>
  <si>
    <t>ROTAS DE COLETA</t>
  </si>
  <si>
    <t xml:space="preserve"> TOTAL = ROTAS DE COLETA + TRANSPORTE </t>
  </si>
  <si>
    <t xml:space="preserve">TOTAL MENSAL = ROTAS DE COLETA + TRANSPORTE </t>
  </si>
  <si>
    <t>Resumo do Percurso - Coleta de Resíduos Domiciliares - Orgânico e Seletivo</t>
  </si>
  <si>
    <t xml:space="preserve">Total dos percursos Orgânicos </t>
  </si>
  <si>
    <t>Rota</t>
  </si>
  <si>
    <t>Dias da semana</t>
  </si>
  <si>
    <t>Nu. Coleta Semanal</t>
  </si>
  <si>
    <t>Distância: Coleta +  Transporte</t>
  </si>
  <si>
    <t>Und.</t>
  </si>
  <si>
    <t>Trecho</t>
  </si>
  <si>
    <t>Cor Linha</t>
  </si>
  <si>
    <t>Ponto a Ponto</t>
  </si>
  <si>
    <t>Distância</t>
  </si>
  <si>
    <t>Unid</t>
  </si>
  <si>
    <t>Trecho 01</t>
  </si>
  <si>
    <t>1 - 2</t>
  </si>
  <si>
    <t>m</t>
  </si>
  <si>
    <t>Inicio da Rota 1 - Final da Rota 1</t>
  </si>
  <si>
    <t>Rota 1</t>
  </si>
  <si>
    <t>x</t>
  </si>
  <si>
    <t>Trecho 02</t>
  </si>
  <si>
    <t>2 - 3</t>
  </si>
  <si>
    <t>Final da rota 1 - Aterro Sanitário</t>
  </si>
  <si>
    <t>Trecho 03</t>
  </si>
  <si>
    <t>3 - 4</t>
  </si>
  <si>
    <t>Aterro Sanitário - Garagem</t>
  </si>
  <si>
    <t>Trecho 04</t>
  </si>
  <si>
    <t>4 - 5</t>
  </si>
  <si>
    <t>Distância total diária:</t>
  </si>
  <si>
    <t>Rota 2</t>
  </si>
  <si>
    <t>Trecho 05</t>
  </si>
  <si>
    <t>5 - 6</t>
  </si>
  <si>
    <t>Trecho 06</t>
  </si>
  <si>
    <t>6 - 7</t>
  </si>
  <si>
    <t>Trecho 07</t>
  </si>
  <si>
    <t>7 - 8</t>
  </si>
  <si>
    <t>Rota 3</t>
  </si>
  <si>
    <t>Inicio da Rota 2 - Final da Rota 2</t>
  </si>
  <si>
    <t>Rota 4</t>
  </si>
  <si>
    <t>Distância total da Rota:</t>
  </si>
  <si>
    <t>Total Semanal</t>
  </si>
  <si>
    <t>Km</t>
  </si>
  <si>
    <t>Garagem - Inicio da Rota 3</t>
  </si>
  <si>
    <t>Total Mensal</t>
  </si>
  <si>
    <t>Inicio da Rota 3 - Final da Rota 3</t>
  </si>
  <si>
    <t>Final da rota 3 - Aterro Sanitário</t>
  </si>
  <si>
    <t>Total dos percursos Seletivos</t>
  </si>
  <si>
    <t>Garagem - Inicio da Rota 4</t>
  </si>
  <si>
    <t>Inicio da Rota 4 - Final da Rota 4</t>
  </si>
  <si>
    <t>Final da rota 4 - Aterro Sanitário</t>
  </si>
  <si>
    <t>Garagem - Inicio da Rota 5</t>
  </si>
  <si>
    <t>Rota 5</t>
  </si>
  <si>
    <t>Inicio da Rota 5 - Final da Rota 5</t>
  </si>
  <si>
    <t>Final da rota 5 - Aterro Sanitário</t>
  </si>
  <si>
    <t>Rota 5  - Coleta de Resíduos Domiciliares - Seletivos Interior</t>
  </si>
  <si>
    <t>Locais de coleta:  Área urbana da cidade</t>
  </si>
  <si>
    <t xml:space="preserve">Locais de coleta:  Área do interior da cidade </t>
  </si>
  <si>
    <t>Rota 2  - Coleta de Resíduos Domiciliares - Seletivos</t>
  </si>
  <si>
    <t xml:space="preserve">Rota 1  - Coleta de Resíduos Domiciliares - Orgânicos </t>
  </si>
  <si>
    <t xml:space="preserve">Rota 3  - Coleta de Resíduos Domiciliares - Orgânicos </t>
  </si>
  <si>
    <t xml:space="preserve">Rota 4  - Coleta de Resíduos Domiciliares - Orgânicos </t>
  </si>
  <si>
    <t>Prefeitura Municipal - Inicio da Rota 1</t>
  </si>
  <si>
    <t>Aterro Sanitário - Prefeitura Municipal</t>
  </si>
  <si>
    <t>Prefeitura Municipal - Inicio da Rota 2</t>
  </si>
  <si>
    <t>Final da rota 2 - Centro de Triagem</t>
  </si>
  <si>
    <t xml:space="preserve">Centro de Triagem - Aterro Sanitário </t>
  </si>
  <si>
    <t>Coleta Rota 1 - Orgânico</t>
  </si>
  <si>
    <t>Coleta Rota 3 - Orgânico</t>
  </si>
  <si>
    <t>Coleta Rota 4 - Orgânico</t>
  </si>
  <si>
    <t>Coleta Rota 2 - Seletivo</t>
  </si>
  <si>
    <t xml:space="preserve">Segunda </t>
  </si>
  <si>
    <t xml:space="preserve">  Quarta </t>
  </si>
  <si>
    <t xml:space="preserve"> Sexta </t>
  </si>
  <si>
    <t xml:space="preserve">Terça </t>
  </si>
  <si>
    <t xml:space="preserve">  Quinta (a cada 15 dias)</t>
  </si>
  <si>
    <t>Coleta Rota 5 - Seletivo Interior</t>
  </si>
  <si>
    <t xml:space="preserve">Coleta </t>
  </si>
  <si>
    <t>Orgânica</t>
  </si>
  <si>
    <t xml:space="preserve">Segunda, quarta e sexta </t>
  </si>
  <si>
    <t xml:space="preserve">Total Horas na semana </t>
  </si>
  <si>
    <t xml:space="preserve">Seletiva </t>
  </si>
  <si>
    <t>Terça</t>
  </si>
  <si>
    <t xml:space="preserve">Interior </t>
  </si>
  <si>
    <t>Quinta (cada 15 dias)</t>
  </si>
  <si>
    <t>Coleta orgânica e seletiva</t>
  </si>
  <si>
    <t>Tolenadas de lixo coletados</t>
  </si>
  <si>
    <t>Mês/ano</t>
  </si>
  <si>
    <t>Total Geral Coletadas</t>
  </si>
  <si>
    <t xml:space="preserve">Nr. de meses </t>
  </si>
  <si>
    <t xml:space="preserve">Quantidade média mensal </t>
  </si>
  <si>
    <t xml:space="preserve">Total Geral toneladas por mês </t>
  </si>
  <si>
    <t>Período: 2023</t>
  </si>
  <si>
    <t xml:space="preserve">kgs Resíduos </t>
  </si>
  <si>
    <t xml:space="preserve">Considerado 25% de rejeito do Seletivo </t>
  </si>
  <si>
    <t>Total de Toneladas de Resíduos Seletivos (25% do Total)</t>
  </si>
  <si>
    <t>Toneladas coletadas e enviadas ao Centro e Aterro Sanitário</t>
  </si>
  <si>
    <t xml:space="preserve">Bermuda com reflexivo </t>
  </si>
  <si>
    <t xml:space="preserve">Camiseta manga curta com reflexivo </t>
  </si>
  <si>
    <t>Camiseta manga longa com reflexivo</t>
  </si>
  <si>
    <t xml:space="preserve">Botina de segurança c/ palmilha aço, ou tênis </t>
  </si>
  <si>
    <t>Custo de arla (5% do consumo de Óleo Diesel)</t>
  </si>
  <si>
    <t xml:space="preserve">Custo mensal com Arla </t>
  </si>
  <si>
    <t xml:space="preserve">Kms </t>
  </si>
  <si>
    <t>Veículo de apoio (média 12kms dia)</t>
  </si>
  <si>
    <t>inicio</t>
  </si>
  <si>
    <t>final</t>
  </si>
  <si>
    <t>segunda</t>
  </si>
  <si>
    <t>terça</t>
  </si>
  <si>
    <t>quinta</t>
  </si>
  <si>
    <t>sexta</t>
  </si>
  <si>
    <t>quarta</t>
  </si>
  <si>
    <t>GPS</t>
  </si>
  <si>
    <t>Novos dias</t>
  </si>
  <si>
    <t>terça seletivo</t>
  </si>
  <si>
    <t>quinta interior seletivo</t>
  </si>
  <si>
    <t>quarta interior (30 min almoço)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</si>
</sst>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 * #,##0.00_ ;_ * \-#,##0.00_ ;_ * &quot;-&quot;??_ ;_ @_ "/>
    <numFmt numFmtId="171" formatCode="_-* #,##0.0_-;\-* #,##0.0_-;_-* &quot;-&quot;??_-;_-@_-"/>
    <numFmt numFmtId="172" formatCode="_(* #,##0.0000_);_(* \(#,##0.0000\);_(* &quot;-&quot;??_);_(@_)"/>
    <numFmt numFmtId="173" formatCode="0.0"/>
    <numFmt numFmtId="174" formatCode="_-* #,##0_-;\-* #,##0_-;_-* &quot;-&quot;??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rgb="FF00000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44" fontId="9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620">
    <xf numFmtId="0" fontId="0" fillId="0" borderId="0" xfId="0"/>
    <xf numFmtId="0" fontId="14" fillId="0" borderId="0" xfId="0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5" fontId="14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165" fontId="14" fillId="0" borderId="2" xfId="3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165" fontId="14" fillId="0" borderId="1" xfId="3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5" fontId="14" fillId="0" borderId="0" xfId="3" applyFont="1" applyAlignment="1">
      <alignment horizontal="center" vertical="center"/>
    </xf>
    <xf numFmtId="165" fontId="11" fillId="2" borderId="4" xfId="3" applyFont="1" applyFill="1" applyBorder="1" applyAlignment="1">
      <alignment horizontal="center" vertical="center"/>
    </xf>
    <xf numFmtId="165" fontId="11" fillId="2" borderId="4" xfId="3" applyFont="1" applyFill="1" applyBorder="1" applyAlignment="1">
      <alignment vertical="center"/>
    </xf>
    <xf numFmtId="165" fontId="11" fillId="0" borderId="0" xfId="3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65" fontId="11" fillId="0" borderId="6" xfId="3" applyFont="1" applyBorder="1" applyAlignment="1">
      <alignment vertical="center"/>
    </xf>
    <xf numFmtId="165" fontId="11" fillId="0" borderId="7" xfId="3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65" fontId="14" fillId="0" borderId="6" xfId="3" applyFont="1" applyBorder="1" applyAlignment="1">
      <alignment vertical="center"/>
    </xf>
    <xf numFmtId="165" fontId="14" fillId="0" borderId="7" xfId="3" applyFont="1" applyBorder="1" applyAlignment="1">
      <alignment vertical="center"/>
    </xf>
    <xf numFmtId="165" fontId="11" fillId="0" borderId="0" xfId="3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165" fontId="11" fillId="0" borderId="0" xfId="3" applyFont="1" applyFill="1" applyBorder="1" applyAlignment="1">
      <alignment horizontal="center" vertical="center"/>
    </xf>
    <xf numFmtId="165" fontId="11" fillId="0" borderId="0" xfId="3" applyFont="1" applyBorder="1" applyAlignment="1">
      <alignment vertical="center"/>
    </xf>
    <xf numFmtId="165" fontId="13" fillId="0" borderId="0" xfId="3" applyFont="1" applyAlignment="1">
      <alignment vertical="center"/>
    </xf>
    <xf numFmtId="166" fontId="14" fillId="0" borderId="1" xfId="3" applyNumberFormat="1" applyFont="1" applyBorder="1" applyAlignment="1">
      <alignment vertical="center"/>
    </xf>
    <xf numFmtId="165" fontId="12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11" fillId="0" borderId="12" xfId="3" applyFont="1" applyBorder="1" applyAlignment="1">
      <alignment horizontal="center" vertical="center"/>
    </xf>
    <xf numFmtId="165" fontId="11" fillId="0" borderId="5" xfId="3" applyFont="1" applyBorder="1" applyAlignment="1">
      <alignment horizontal="left" vertical="center"/>
    </xf>
    <xf numFmtId="4" fontId="11" fillId="0" borderId="6" xfId="0" applyNumberFormat="1" applyFont="1" applyBorder="1" applyAlignment="1">
      <alignment horizontal="centerContinuous" vertical="center"/>
    </xf>
    <xf numFmtId="165" fontId="11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11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14" fillId="0" borderId="1" xfId="3" applyFont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165" fontId="14" fillId="0" borderId="0" xfId="3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5" fontId="12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14" fillId="0" borderId="0" xfId="3" applyFont="1" applyBorder="1" applyAlignment="1">
      <alignment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165" fontId="21" fillId="2" borderId="17" xfId="3" applyFont="1" applyFill="1" applyBorder="1" applyAlignment="1">
      <alignment horizontal="center" vertical="center"/>
    </xf>
    <xf numFmtId="165" fontId="21" fillId="2" borderId="18" xfId="3" applyFont="1" applyFill="1" applyBorder="1" applyAlignment="1">
      <alignment horizontal="center" vertical="center"/>
    </xf>
    <xf numFmtId="165" fontId="11" fillId="0" borderId="19" xfId="3" applyFont="1" applyBorder="1" applyAlignment="1">
      <alignment horizontal="center" vertical="center"/>
    </xf>
    <xf numFmtId="165" fontId="9" fillId="0" borderId="14" xfId="3" applyFont="1" applyBorder="1" applyAlignment="1">
      <alignment horizontal="left" vertical="center"/>
    </xf>
    <xf numFmtId="165" fontId="14" fillId="0" borderId="9" xfId="3" applyFont="1" applyBorder="1" applyAlignment="1">
      <alignment vertical="center"/>
    </xf>
    <xf numFmtId="165" fontId="14" fillId="0" borderId="14" xfId="3" applyFont="1" applyBorder="1" applyAlignment="1">
      <alignment vertical="center"/>
    </xf>
    <xf numFmtId="166" fontId="14" fillId="0" borderId="0" xfId="3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14" fillId="0" borderId="20" xfId="3" applyNumberFormat="1" applyFont="1" applyBorder="1" applyAlignment="1">
      <alignment horizontal="center" vertical="center"/>
    </xf>
    <xf numFmtId="165" fontId="11" fillId="0" borderId="28" xfId="3" applyFont="1" applyBorder="1" applyAlignment="1">
      <alignment vertical="center"/>
    </xf>
    <xf numFmtId="4" fontId="11" fillId="0" borderId="29" xfId="0" applyNumberFormat="1" applyFont="1" applyBorder="1" applyAlignment="1">
      <alignment vertical="center"/>
    </xf>
    <xf numFmtId="165" fontId="14" fillId="0" borderId="19" xfId="3" applyFont="1" applyBorder="1" applyAlignment="1">
      <alignment vertical="center"/>
    </xf>
    <xf numFmtId="165" fontId="14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14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11" fillId="0" borderId="31" xfId="3" applyNumberFormat="1" applyFont="1" applyBorder="1" applyAlignment="1">
      <alignment horizontal="center" vertical="center"/>
    </xf>
    <xf numFmtId="165" fontId="20" fillId="0" borderId="1" xfId="3" applyFont="1" applyBorder="1" applyAlignment="1">
      <alignment horizontal="center" vertical="center"/>
    </xf>
    <xf numFmtId="165" fontId="14" fillId="0" borderId="1" xfId="3" applyFont="1" applyFill="1" applyBorder="1" applyAlignment="1">
      <alignment horizontal="center" vertical="center"/>
    </xf>
    <xf numFmtId="165" fontId="19" fillId="0" borderId="0" xfId="3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165" fontId="14" fillId="3" borderId="2" xfId="3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165" fontId="14" fillId="3" borderId="1" xfId="3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165" fontId="14" fillId="3" borderId="0" xfId="3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166" fontId="14" fillId="0" borderId="1" xfId="3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167" fontId="14" fillId="3" borderId="2" xfId="3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13" fontId="14" fillId="3" borderId="1" xfId="0" applyNumberFormat="1" applyFont="1" applyFill="1" applyBorder="1" applyAlignment="1">
      <alignment horizontal="center" vertical="center"/>
    </xf>
    <xf numFmtId="166" fontId="14" fillId="0" borderId="1" xfId="3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5" fontId="11" fillId="0" borderId="1" xfId="3" applyFont="1" applyBorder="1" applyAlignment="1">
      <alignment horizontal="center" vertical="center"/>
    </xf>
    <xf numFmtId="165" fontId="14" fillId="0" borderId="2" xfId="3" applyFont="1" applyFill="1" applyBorder="1" applyAlignment="1">
      <alignment horizontal="center" vertical="center"/>
    </xf>
    <xf numFmtId="0" fontId="16" fillId="0" borderId="0" xfId="1" applyAlignment="1" applyProtection="1">
      <alignment vertical="center"/>
    </xf>
    <xf numFmtId="0" fontId="11" fillId="0" borderId="0" xfId="0" applyFont="1"/>
    <xf numFmtId="0" fontId="21" fillId="2" borderId="3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165" fontId="21" fillId="2" borderId="33" xfId="3" applyFont="1" applyFill="1" applyBorder="1" applyAlignment="1">
      <alignment horizontal="center" vertical="center"/>
    </xf>
    <xf numFmtId="165" fontId="14" fillId="0" borderId="0" xfId="3" applyFont="1" applyFill="1" applyAlignment="1">
      <alignment vertical="center"/>
    </xf>
    <xf numFmtId="165" fontId="11" fillId="0" borderId="1" xfId="3" applyFont="1" applyFill="1" applyBorder="1" applyAlignment="1">
      <alignment horizontal="center" vertical="center"/>
    </xf>
    <xf numFmtId="164" fontId="11" fillId="0" borderId="34" xfId="0" applyNumberFormat="1" applyFont="1" applyBorder="1" applyAlignment="1">
      <alignment vertical="center"/>
    </xf>
    <xf numFmtId="165" fontId="11" fillId="0" borderId="35" xfId="3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65" fontId="11" fillId="0" borderId="0" xfId="3" applyFont="1" applyAlignment="1">
      <alignment horizontal="center" vertical="center"/>
    </xf>
    <xf numFmtId="165" fontId="11" fillId="0" borderId="3" xfId="3" applyFont="1" applyBorder="1" applyAlignment="1">
      <alignment horizontal="center" vertical="center"/>
    </xf>
    <xf numFmtId="2" fontId="14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14" fillId="0" borderId="0" xfId="3" applyFont="1" applyAlignment="1">
      <alignment horizontal="right" vertical="center"/>
    </xf>
    <xf numFmtId="165" fontId="11" fillId="2" borderId="7" xfId="3" applyFont="1" applyFill="1" applyBorder="1" applyAlignment="1">
      <alignment horizontal="center" vertical="center"/>
    </xf>
    <xf numFmtId="165" fontId="11" fillId="0" borderId="14" xfId="3" applyFont="1" applyBorder="1" applyAlignment="1">
      <alignment vertical="center"/>
    </xf>
    <xf numFmtId="165" fontId="11" fillId="0" borderId="9" xfId="0" applyNumberFormat="1" applyFont="1" applyBorder="1" applyAlignment="1">
      <alignment vertical="center"/>
    </xf>
    <xf numFmtId="165" fontId="11" fillId="0" borderId="9" xfId="3" applyFont="1" applyBorder="1" applyAlignment="1">
      <alignment vertical="center"/>
    </xf>
    <xf numFmtId="10" fontId="11" fillId="0" borderId="15" xfId="2" applyNumberFormat="1" applyFont="1" applyBorder="1" applyAlignment="1">
      <alignment vertical="center"/>
    </xf>
    <xf numFmtId="165" fontId="11" fillId="0" borderId="38" xfId="3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165" fontId="14" fillId="0" borderId="39" xfId="3" applyFont="1" applyBorder="1" applyAlignment="1">
      <alignment vertical="center"/>
    </xf>
    <xf numFmtId="165" fontId="14" fillId="0" borderId="40" xfId="3" applyFont="1" applyBorder="1" applyAlignment="1">
      <alignment vertical="center"/>
    </xf>
    <xf numFmtId="165" fontId="14" fillId="0" borderId="41" xfId="3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1" fontId="14" fillId="0" borderId="37" xfId="3" applyNumberFormat="1" applyFont="1" applyBorder="1" applyAlignment="1">
      <alignment horizontal="center" vertical="center"/>
    </xf>
    <xf numFmtId="165" fontId="11" fillId="0" borderId="14" xfId="3" applyFont="1" applyBorder="1" applyAlignment="1">
      <alignment horizontal="left" vertical="center"/>
    </xf>
    <xf numFmtId="4" fontId="11" fillId="0" borderId="9" xfId="0" applyNumberFormat="1" applyFont="1" applyBorder="1" applyAlignment="1">
      <alignment horizontal="centerContinuous" vertical="center"/>
    </xf>
    <xf numFmtId="4" fontId="14" fillId="0" borderId="0" xfId="0" applyNumberFormat="1" applyFont="1" applyAlignment="1">
      <alignment vertical="center"/>
    </xf>
    <xf numFmtId="165" fontId="14" fillId="6" borderId="1" xfId="3" applyFont="1" applyFill="1" applyBorder="1" applyAlignment="1">
      <alignment horizontal="center" vertical="center"/>
    </xf>
    <xf numFmtId="165" fontId="14" fillId="6" borderId="1" xfId="3" applyFont="1" applyFill="1" applyBorder="1" applyAlignment="1">
      <alignment vertical="center"/>
    </xf>
    <xf numFmtId="9" fontId="11" fillId="0" borderId="18" xfId="2" applyFont="1" applyBorder="1" applyAlignment="1">
      <alignment vertical="center"/>
    </xf>
    <xf numFmtId="10" fontId="14" fillId="0" borderId="15" xfId="2" applyNumberFormat="1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166" fontId="11" fillId="0" borderId="0" xfId="3" applyNumberFormat="1" applyFont="1" applyBorder="1" applyAlignment="1">
      <alignment horizontal="center" vertical="center"/>
    </xf>
    <xf numFmtId="0" fontId="24" fillId="0" borderId="14" xfId="0" applyFont="1" applyBorder="1"/>
    <xf numFmtId="0" fontId="24" fillId="0" borderId="47" xfId="0" applyFont="1" applyBorder="1"/>
    <xf numFmtId="0" fontId="24" fillId="3" borderId="20" xfId="0" applyFont="1" applyFill="1" applyBorder="1"/>
    <xf numFmtId="0" fontId="24" fillId="0" borderId="23" xfId="0" applyFont="1" applyBorder="1"/>
    <xf numFmtId="0" fontId="24" fillId="0" borderId="51" xfId="0" applyFont="1" applyBorder="1"/>
    <xf numFmtId="0" fontId="24" fillId="0" borderId="48" xfId="0" applyFont="1" applyBorder="1"/>
    <xf numFmtId="0" fontId="24" fillId="0" borderId="52" xfId="0" applyFont="1" applyBorder="1"/>
    <xf numFmtId="0" fontId="24" fillId="0" borderId="20" xfId="0" applyFont="1" applyBorder="1"/>
    <xf numFmtId="0" fontId="24" fillId="0" borderId="28" xfId="0" applyFont="1" applyBorder="1"/>
    <xf numFmtId="2" fontId="25" fillId="7" borderId="1" xfId="0" applyNumberFormat="1" applyFont="1" applyFill="1" applyBorder="1" applyAlignment="1">
      <alignment horizontal="right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2" fontId="25" fillId="7" borderId="36" xfId="0" applyNumberFormat="1" applyFont="1" applyFill="1" applyBorder="1" applyAlignment="1">
      <alignment horizontal="right" vertical="center"/>
    </xf>
    <xf numFmtId="0" fontId="25" fillId="0" borderId="23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10" fontId="25" fillId="0" borderId="20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10" fontId="26" fillId="0" borderId="20" xfId="0" applyNumberFormat="1" applyFont="1" applyBorder="1" applyAlignment="1">
      <alignment horizontal="right" vertical="center"/>
    </xf>
    <xf numFmtId="0" fontId="25" fillId="5" borderId="23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horizontal="left" vertical="center"/>
    </xf>
    <xf numFmtId="10" fontId="26" fillId="5" borderId="20" xfId="0" applyNumberFormat="1" applyFont="1" applyFill="1" applyBorder="1" applyAlignment="1">
      <alignment horizontal="right" vertical="center"/>
    </xf>
    <xf numFmtId="0" fontId="27" fillId="0" borderId="1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0" fontId="14" fillId="0" borderId="0" xfId="0" applyNumberFormat="1" applyFont="1"/>
    <xf numFmtId="9" fontId="25" fillId="0" borderId="0" xfId="2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9" borderId="24" xfId="0" applyFont="1" applyFill="1" applyBorder="1" applyAlignment="1">
      <alignment horizontal="left" vertical="center"/>
    </xf>
    <xf numFmtId="0" fontId="26" fillId="9" borderId="36" xfId="0" applyFont="1" applyFill="1" applyBorder="1" applyAlignment="1">
      <alignment horizontal="left" vertical="center"/>
    </xf>
    <xf numFmtId="10" fontId="26" fillId="9" borderId="37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10" fontId="26" fillId="0" borderId="0" xfId="0" applyNumberFormat="1" applyFont="1" applyAlignment="1">
      <alignment horizontal="right" vertical="center"/>
    </xf>
    <xf numFmtId="0" fontId="28" fillId="4" borderId="0" xfId="0" applyFont="1" applyFill="1" applyAlignment="1">
      <alignment horizontal="left" vertical="center"/>
    </xf>
    <xf numFmtId="10" fontId="25" fillId="0" borderId="0" xfId="0" applyNumberFormat="1" applyFont="1" applyAlignment="1">
      <alignment horizontal="right" vertical="center"/>
    </xf>
    <xf numFmtId="0" fontId="25" fillId="4" borderId="0" xfId="0" applyFont="1" applyFill="1" applyAlignment="1">
      <alignment horizontal="left" vertical="center"/>
    </xf>
    <xf numFmtId="0" fontId="29" fillId="0" borderId="0" xfId="0" applyFont="1" applyAlignment="1">
      <alignment horizontal="justify" vertical="center"/>
    </xf>
    <xf numFmtId="0" fontId="16" fillId="0" borderId="0" xfId="1" applyBorder="1" applyAlignment="1" applyProtection="1">
      <alignment horizontal="left" vertical="center"/>
    </xf>
    <xf numFmtId="0" fontId="30" fillId="0" borderId="0" xfId="0" applyFont="1"/>
    <xf numFmtId="0" fontId="25" fillId="0" borderId="0" xfId="0" applyFont="1" applyAlignment="1">
      <alignment horizontal="right" vertical="center"/>
    </xf>
    <xf numFmtId="0" fontId="16" fillId="0" borderId="0" xfId="1" applyBorder="1" applyAlignment="1" applyProtection="1">
      <alignment vertical="center"/>
    </xf>
    <xf numFmtId="0" fontId="13" fillId="0" borderId="15" xfId="0" applyFont="1" applyBorder="1"/>
    <xf numFmtId="0" fontId="13" fillId="0" borderId="23" xfId="0" applyFont="1" applyBorder="1"/>
    <xf numFmtId="0" fontId="13" fillId="3" borderId="20" xfId="0" applyFont="1" applyFill="1" applyBorder="1"/>
    <xf numFmtId="0" fontId="13" fillId="0" borderId="47" xfId="0" applyFont="1" applyBorder="1"/>
    <xf numFmtId="0" fontId="13" fillId="3" borderId="48" xfId="0" applyFont="1" applyFill="1" applyBorder="1"/>
    <xf numFmtId="0" fontId="13" fillId="0" borderId="49" xfId="0" applyFont="1" applyBorder="1"/>
    <xf numFmtId="0" fontId="13" fillId="3" borderId="50" xfId="0" applyFont="1" applyFill="1" applyBorder="1"/>
    <xf numFmtId="0" fontId="13" fillId="0" borderId="38" xfId="0" applyFont="1" applyBorder="1"/>
    <xf numFmtId="0" fontId="13" fillId="0" borderId="39" xfId="0" applyFont="1" applyBorder="1"/>
    <xf numFmtId="0" fontId="15" fillId="0" borderId="48" xfId="0" applyFont="1" applyBorder="1"/>
    <xf numFmtId="9" fontId="15" fillId="0" borderId="48" xfId="0" applyNumberFormat="1" applyFont="1" applyBorder="1"/>
    <xf numFmtId="0" fontId="15" fillId="0" borderId="38" xfId="0" applyFont="1" applyBorder="1" applyAlignment="1">
      <alignment horizontal="left" vertical="center"/>
    </xf>
    <xf numFmtId="9" fontId="13" fillId="0" borderId="23" xfId="2" applyFont="1" applyBorder="1"/>
    <xf numFmtId="9" fontId="13" fillId="0" borderId="1" xfId="2" applyFont="1" applyBorder="1" applyAlignment="1">
      <alignment horizontal="center"/>
    </xf>
    <xf numFmtId="9" fontId="13" fillId="0" borderId="20" xfId="2" applyFont="1" applyBorder="1"/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10" fontId="13" fillId="3" borderId="12" xfId="0" applyNumberFormat="1" applyFont="1" applyFill="1" applyBorder="1" applyAlignment="1">
      <alignment horizontal="center" vertical="center"/>
    </xf>
    <xf numFmtId="10" fontId="13" fillId="0" borderId="20" xfId="2" applyNumberFormat="1" applyFont="1" applyBorder="1"/>
    <xf numFmtId="0" fontId="13" fillId="0" borderId="2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0" fontId="13" fillId="3" borderId="20" xfId="0" applyNumberFormat="1" applyFont="1" applyFill="1" applyBorder="1" applyAlignment="1">
      <alignment horizontal="center" vertical="center"/>
    </xf>
    <xf numFmtId="10" fontId="13" fillId="0" borderId="20" xfId="0" applyNumberFormat="1" applyFont="1" applyBorder="1" applyAlignment="1">
      <alignment horizontal="center" vertical="center"/>
    </xf>
    <xf numFmtId="10" fontId="13" fillId="3" borderId="1" xfId="2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0" borderId="20" xfId="0" applyFont="1" applyBorder="1"/>
    <xf numFmtId="0" fontId="13" fillId="0" borderId="24" xfId="0" applyFont="1" applyBorder="1" applyAlignment="1">
      <alignment horizontal="left" vertical="center"/>
    </xf>
    <xf numFmtId="10" fontId="13" fillId="3" borderId="37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10" fontId="13" fillId="0" borderId="27" xfId="0" applyNumberFormat="1" applyFont="1" applyBorder="1" applyAlignment="1">
      <alignment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vertical="center"/>
    </xf>
    <xf numFmtId="0" fontId="15" fillId="5" borderId="5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vertical="center"/>
    </xf>
    <xf numFmtId="10" fontId="15" fillId="5" borderId="7" xfId="0" applyNumberFormat="1" applyFont="1" applyFill="1" applyBorder="1" applyAlignment="1">
      <alignment horizontal="center" vertical="center" wrapText="1"/>
    </xf>
    <xf numFmtId="10" fontId="13" fillId="0" borderId="23" xfId="2" applyNumberFormat="1" applyFont="1" applyBorder="1" applyAlignment="1">
      <alignment horizontal="right"/>
    </xf>
    <xf numFmtId="10" fontId="13" fillId="0" borderId="1" xfId="2" applyNumberFormat="1" applyFont="1" applyBorder="1" applyAlignment="1">
      <alignment horizontal="right"/>
    </xf>
    <xf numFmtId="10" fontId="13" fillId="0" borderId="20" xfId="2" applyNumberFormat="1" applyFont="1" applyBorder="1" applyAlignment="1">
      <alignment horizontal="right"/>
    </xf>
    <xf numFmtId="10" fontId="13" fillId="0" borderId="24" xfId="2" applyNumberFormat="1" applyFont="1" applyBorder="1" applyAlignment="1">
      <alignment horizontal="right"/>
    </xf>
    <xf numFmtId="10" fontId="13" fillId="0" borderId="36" xfId="2" applyNumberFormat="1" applyFont="1" applyBorder="1" applyAlignment="1">
      <alignment horizontal="right"/>
    </xf>
    <xf numFmtId="10" fontId="13" fillId="0" borderId="37" xfId="2" applyNumberFormat="1" applyFont="1" applyBorder="1" applyAlignment="1">
      <alignment horizontal="right"/>
    </xf>
    <xf numFmtId="1" fontId="14" fillId="0" borderId="0" xfId="3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65" fontId="14" fillId="3" borderId="9" xfId="3" applyFont="1" applyFill="1" applyBorder="1" applyAlignment="1">
      <alignment vertical="center"/>
    </xf>
    <xf numFmtId="165" fontId="14" fillId="0" borderId="10" xfId="3" applyFont="1" applyBorder="1" applyAlignment="1">
      <alignment vertical="center"/>
    </xf>
    <xf numFmtId="165" fontId="11" fillId="0" borderId="7" xfId="3" applyFont="1" applyBorder="1" applyAlignment="1">
      <alignment horizontal="right" vertical="center"/>
    </xf>
    <xf numFmtId="165" fontId="11" fillId="2" borderId="4" xfId="3" applyFont="1" applyFill="1" applyBorder="1" applyAlignment="1">
      <alignment horizontal="right" vertical="center"/>
    </xf>
    <xf numFmtId="168" fontId="11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11" fillId="0" borderId="36" xfId="0" applyNumberFormat="1" applyFont="1" applyBorder="1" applyAlignment="1">
      <alignment vertical="center"/>
    </xf>
    <xf numFmtId="165" fontId="11" fillId="0" borderId="11" xfId="3" applyFont="1" applyBorder="1" applyAlignment="1">
      <alignment vertical="center"/>
    </xf>
    <xf numFmtId="165" fontId="11" fillId="0" borderId="5" xfId="3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5" fontId="11" fillId="0" borderId="9" xfId="3" applyFont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 wrapText="1"/>
    </xf>
    <xf numFmtId="167" fontId="14" fillId="0" borderId="1" xfId="3" applyNumberFormat="1" applyFont="1" applyBorder="1" applyAlignment="1">
      <alignment horizontal="center" vertical="center"/>
    </xf>
    <xf numFmtId="166" fontId="11" fillId="0" borderId="1" xfId="3" applyNumberFormat="1" applyFont="1" applyBorder="1" applyAlignment="1">
      <alignment horizontal="center" vertical="center"/>
    </xf>
    <xf numFmtId="167" fontId="11" fillId="0" borderId="1" xfId="3" applyNumberFormat="1" applyFont="1" applyBorder="1" applyAlignment="1">
      <alignment horizontal="center" vertical="center"/>
    </xf>
    <xf numFmtId="167" fontId="14" fillId="0" borderId="2" xfId="3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/>
    <xf numFmtId="169" fontId="24" fillId="0" borderId="48" xfId="0" applyNumberFormat="1" applyFont="1" applyBorder="1"/>
    <xf numFmtId="169" fontId="15" fillId="0" borderId="48" xfId="0" applyNumberFormat="1" applyFont="1" applyBorder="1"/>
    <xf numFmtId="169" fontId="15" fillId="0" borderId="31" xfId="0" applyNumberFormat="1" applyFont="1" applyBorder="1"/>
    <xf numFmtId="0" fontId="11" fillId="0" borderId="53" xfId="0" applyFont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165" fontId="11" fillId="0" borderId="53" xfId="3" applyFont="1" applyBorder="1" applyAlignment="1">
      <alignment horizontal="center" vertical="center"/>
    </xf>
    <xf numFmtId="165" fontId="11" fillId="0" borderId="53" xfId="3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/>
    </xf>
    <xf numFmtId="0" fontId="32" fillId="0" borderId="0" xfId="4" applyFont="1"/>
    <xf numFmtId="0" fontId="8" fillId="0" borderId="0" xfId="4"/>
    <xf numFmtId="0" fontId="32" fillId="0" borderId="1" xfId="4" applyFont="1" applyBorder="1"/>
    <xf numFmtId="0" fontId="32" fillId="0" borderId="1" xfId="4" applyFont="1" applyBorder="1" applyAlignment="1">
      <alignment horizontal="center"/>
    </xf>
    <xf numFmtId="20" fontId="32" fillId="0" borderId="1" xfId="4" applyNumberFormat="1" applyFont="1" applyBorder="1"/>
    <xf numFmtId="0" fontId="8" fillId="0" borderId="1" xfId="4" applyBorder="1"/>
    <xf numFmtId="0" fontId="8" fillId="0" borderId="8" xfId="4" applyBorder="1"/>
    <xf numFmtId="0" fontId="8" fillId="0" borderId="9" xfId="4" applyBorder="1"/>
    <xf numFmtId="0" fontId="32" fillId="0" borderId="8" xfId="4" applyFont="1" applyBorder="1"/>
    <xf numFmtId="0" fontId="32" fillId="0" borderId="9" xfId="4" applyFont="1" applyBorder="1"/>
    <xf numFmtId="10" fontId="11" fillId="3" borderId="7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3" applyFont="1" applyBorder="1"/>
    <xf numFmtId="2" fontId="9" fillId="3" borderId="1" xfId="0" applyNumberFormat="1" applyFont="1" applyFill="1" applyBorder="1" applyAlignment="1">
      <alignment horizontal="center" vertical="center"/>
    </xf>
    <xf numFmtId="165" fontId="9" fillId="0" borderId="1" xfId="3" applyFont="1" applyBorder="1" applyAlignment="1">
      <alignment horizontal="center" vertical="center"/>
    </xf>
    <xf numFmtId="2" fontId="9" fillId="0" borderId="1" xfId="3" applyNumberFormat="1" applyFont="1" applyBorder="1" applyAlignment="1">
      <alignment horizontal="center" vertical="center"/>
    </xf>
    <xf numFmtId="165" fontId="9" fillId="0" borderId="1" xfId="3" applyFont="1" applyFill="1" applyBorder="1" applyAlignment="1">
      <alignment horizontal="center" vertical="center"/>
    </xf>
    <xf numFmtId="165" fontId="9" fillId="0" borderId="3" xfId="3" applyFont="1" applyBorder="1" applyAlignment="1">
      <alignment horizontal="center" vertical="center"/>
    </xf>
    <xf numFmtId="165" fontId="9" fillId="3" borderId="2" xfId="3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165" fontId="11" fillId="0" borderId="1" xfId="3" applyFont="1" applyBorder="1"/>
    <xf numFmtId="165" fontId="8" fillId="0" borderId="1" xfId="3" applyFont="1" applyBorder="1"/>
    <xf numFmtId="165" fontId="0" fillId="0" borderId="0" xfId="0" applyNumberFormat="1"/>
    <xf numFmtId="165" fontId="14" fillId="3" borderId="1" xfId="3" applyFont="1" applyFill="1" applyBorder="1" applyAlignment="1">
      <alignment vertical="center"/>
    </xf>
    <xf numFmtId="2" fontId="32" fillId="0" borderId="0" xfId="4" applyNumberFormat="1" applyFont="1"/>
    <xf numFmtId="0" fontId="34" fillId="0" borderId="1" xfId="0" applyFont="1" applyBorder="1"/>
    <xf numFmtId="10" fontId="32" fillId="0" borderId="1" xfId="2" applyNumberFormat="1" applyFont="1" applyBorder="1"/>
    <xf numFmtId="1" fontId="32" fillId="0" borderId="1" xfId="4" applyNumberFormat="1" applyFont="1" applyBorder="1"/>
    <xf numFmtId="165" fontId="12" fillId="0" borderId="0" xfId="3" applyFont="1" applyFill="1" applyBorder="1" applyAlignment="1">
      <alignment vertical="center"/>
    </xf>
    <xf numFmtId="166" fontId="32" fillId="0" borderId="1" xfId="3" applyNumberFormat="1" applyFont="1" applyBorder="1"/>
    <xf numFmtId="0" fontId="9" fillId="0" borderId="2" xfId="0" applyFont="1" applyBorder="1" applyAlignment="1">
      <alignment vertical="center"/>
    </xf>
    <xf numFmtId="172" fontId="14" fillId="0" borderId="1" xfId="3" applyNumberFormat="1" applyFont="1" applyBorder="1" applyAlignment="1">
      <alignment vertical="center"/>
    </xf>
    <xf numFmtId="165" fontId="9" fillId="3" borderId="1" xfId="3" applyFont="1" applyFill="1" applyBorder="1" applyAlignment="1">
      <alignment horizontal="center" vertical="center"/>
    </xf>
    <xf numFmtId="165" fontId="9" fillId="0" borderId="0" xfId="3" applyFont="1" applyAlignment="1">
      <alignment vertical="center"/>
    </xf>
    <xf numFmtId="1" fontId="9" fillId="0" borderId="1" xfId="3" applyNumberFormat="1" applyFont="1" applyFill="1" applyBorder="1" applyAlignment="1">
      <alignment horizontal="center" vertical="center"/>
    </xf>
    <xf numFmtId="44" fontId="9" fillId="3" borderId="1" xfId="5" applyFont="1" applyFill="1" applyBorder="1" applyAlignment="1">
      <alignment horizontal="center" vertical="center"/>
    </xf>
    <xf numFmtId="44" fontId="9" fillId="3" borderId="1" xfId="5" applyFont="1" applyFill="1" applyBorder="1" applyAlignment="1">
      <alignment vertical="center"/>
    </xf>
    <xf numFmtId="0" fontId="10" fillId="0" borderId="54" xfId="0" applyFont="1" applyBorder="1" applyAlignment="1">
      <alignment vertical="center"/>
    </xf>
    <xf numFmtId="165" fontId="9" fillId="0" borderId="0" xfId="3" applyFont="1" applyAlignment="1">
      <alignment horizontal="right" vertical="center"/>
    </xf>
    <xf numFmtId="172" fontId="9" fillId="0" borderId="1" xfId="3" applyNumberFormat="1" applyFont="1" applyBorder="1" applyAlignment="1">
      <alignment vertical="center"/>
    </xf>
    <xf numFmtId="44" fontId="11" fillId="2" borderId="4" xfId="5" applyFont="1" applyFill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4" borderId="0" xfId="0" applyFont="1" applyFill="1" applyAlignment="1">
      <alignment vertical="center"/>
    </xf>
    <xf numFmtId="4" fontId="0" fillId="4" borderId="0" xfId="0" applyNumberFormat="1" applyFill="1" applyAlignment="1">
      <alignment vertical="center"/>
    </xf>
    <xf numFmtId="165" fontId="0" fillId="4" borderId="0" xfId="3" applyFont="1" applyFill="1" applyAlignment="1">
      <alignment vertical="center"/>
    </xf>
    <xf numFmtId="10" fontId="9" fillId="0" borderId="15" xfId="2" applyNumberFormat="1" applyFont="1" applyBorder="1" applyAlignment="1">
      <alignment vertical="center"/>
    </xf>
    <xf numFmtId="165" fontId="9" fillId="0" borderId="0" xfId="3" applyFont="1" applyBorder="1" applyAlignment="1">
      <alignment vertical="center"/>
    </xf>
    <xf numFmtId="165" fontId="9" fillId="0" borderId="39" xfId="3" applyFont="1" applyBorder="1" applyAlignment="1">
      <alignment vertical="center"/>
    </xf>
    <xf numFmtId="165" fontId="9" fillId="0" borderId="14" xfId="3" applyFont="1" applyBorder="1" applyAlignment="1">
      <alignment vertical="center"/>
    </xf>
    <xf numFmtId="165" fontId="9" fillId="0" borderId="9" xfId="3" applyFont="1" applyBorder="1" applyAlignment="1">
      <alignment vertical="center"/>
    </xf>
    <xf numFmtId="1" fontId="9" fillId="0" borderId="20" xfId="3" applyNumberFormat="1" applyFont="1" applyBorder="1" applyAlignment="1">
      <alignment horizontal="center" vertical="center"/>
    </xf>
    <xf numFmtId="166" fontId="9" fillId="0" borderId="0" xfId="3" applyNumberFormat="1" applyFont="1" applyBorder="1" applyAlignment="1">
      <alignment horizontal="center" vertical="center"/>
    </xf>
    <xf numFmtId="9" fontId="11" fillId="0" borderId="7" xfId="2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65" fontId="9" fillId="0" borderId="2" xfId="3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5" fontId="9" fillId="0" borderId="0" xfId="3" applyFont="1" applyAlignment="1">
      <alignment horizontal="center" vertical="center"/>
    </xf>
    <xf numFmtId="165" fontId="9" fillId="0" borderId="2" xfId="3" applyFont="1" applyFill="1" applyBorder="1" applyAlignment="1">
      <alignment horizontal="center" vertical="center"/>
    </xf>
    <xf numFmtId="165" fontId="9" fillId="0" borderId="1" xfId="3" applyFont="1" applyFill="1" applyBorder="1" applyAlignment="1">
      <alignment vertical="center"/>
    </xf>
    <xf numFmtId="165" fontId="11" fillId="0" borderId="0" xfId="3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5" fontId="9" fillId="0" borderId="1" xfId="3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4" fontId="9" fillId="3" borderId="2" xfId="0" applyNumberFormat="1" applyFont="1" applyFill="1" applyBorder="1" applyAlignment="1">
      <alignment horizontal="center" vertical="center"/>
    </xf>
    <xf numFmtId="167" fontId="9" fillId="3" borderId="2" xfId="3" applyNumberFormat="1" applyFont="1" applyFill="1" applyBorder="1" applyAlignment="1">
      <alignment horizontal="center" vertical="center"/>
    </xf>
    <xf numFmtId="166" fontId="9" fillId="0" borderId="1" xfId="3" applyNumberFormat="1" applyFont="1" applyBorder="1" applyAlignment="1">
      <alignment horizontal="center" vertical="center"/>
    </xf>
    <xf numFmtId="167" fontId="9" fillId="0" borderId="2" xfId="3" applyNumberFormat="1" applyFont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167" fontId="9" fillId="0" borderId="1" xfId="3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65" fontId="9" fillId="0" borderId="6" xfId="3" applyFont="1" applyBorder="1" applyAlignment="1">
      <alignment vertical="center"/>
    </xf>
    <xf numFmtId="165" fontId="9" fillId="0" borderId="7" xfId="3" applyFont="1" applyBorder="1" applyAlignment="1">
      <alignment vertical="center"/>
    </xf>
    <xf numFmtId="165" fontId="9" fillId="6" borderId="1" xfId="3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165" fontId="12" fillId="4" borderId="6" xfId="3" applyFont="1" applyFill="1" applyBorder="1" applyAlignment="1">
      <alignment vertical="center"/>
    </xf>
    <xf numFmtId="165" fontId="12" fillId="4" borderId="7" xfId="3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165" fontId="13" fillId="4" borderId="0" xfId="3" applyFont="1" applyFill="1" applyAlignment="1">
      <alignment vertical="center"/>
    </xf>
    <xf numFmtId="165" fontId="9" fillId="4" borderId="0" xfId="3" applyFont="1" applyFill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5" fontId="9" fillId="4" borderId="9" xfId="3" applyFont="1" applyFill="1" applyBorder="1" applyAlignment="1">
      <alignment vertical="center"/>
    </xf>
    <xf numFmtId="165" fontId="9" fillId="4" borderId="10" xfId="3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165" fontId="11" fillId="4" borderId="6" xfId="3" applyFont="1" applyFill="1" applyBorder="1" applyAlignment="1">
      <alignment vertical="center"/>
    </xf>
    <xf numFmtId="165" fontId="11" fillId="4" borderId="7" xfId="3" applyFont="1" applyFill="1" applyBorder="1" applyAlignment="1">
      <alignment horizontal="right" vertical="center"/>
    </xf>
    <xf numFmtId="165" fontId="11" fillId="4" borderId="4" xfId="3" applyFont="1" applyFill="1" applyBorder="1" applyAlignment="1">
      <alignment horizontal="right" vertical="center"/>
    </xf>
    <xf numFmtId="0" fontId="11" fillId="4" borderId="0" xfId="0" applyFont="1" applyFill="1" applyAlignment="1">
      <alignment vertical="center"/>
    </xf>
    <xf numFmtId="165" fontId="11" fillId="4" borderId="0" xfId="3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36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vertical="center"/>
    </xf>
    <xf numFmtId="165" fontId="9" fillId="4" borderId="6" xfId="3" applyFont="1" applyFill="1" applyBorder="1" applyAlignment="1">
      <alignment vertical="center"/>
    </xf>
    <xf numFmtId="165" fontId="9" fillId="4" borderId="7" xfId="3" applyFont="1" applyFill="1" applyBorder="1" applyAlignment="1">
      <alignment vertical="center"/>
    </xf>
    <xf numFmtId="0" fontId="35" fillId="4" borderId="0" xfId="0" applyFont="1" applyFill="1" applyAlignment="1">
      <alignment horizontal="center" vertical="center"/>
    </xf>
    <xf numFmtId="165" fontId="9" fillId="4" borderId="0" xfId="3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5" fontId="9" fillId="11" borderId="1" xfId="3" applyFont="1" applyFill="1" applyBorder="1" applyAlignment="1">
      <alignment horizontal="center" vertical="center"/>
    </xf>
    <xf numFmtId="0" fontId="11" fillId="0" borderId="0" xfId="13" applyFont="1" applyAlignment="1">
      <alignment vertical="center"/>
    </xf>
    <xf numFmtId="0" fontId="9" fillId="0" borderId="0" xfId="13" applyAlignment="1">
      <alignment vertical="center"/>
    </xf>
    <xf numFmtId="4" fontId="9" fillId="0" borderId="0" xfId="13" applyNumberFormat="1" applyAlignment="1">
      <alignment vertical="center"/>
    </xf>
    <xf numFmtId="0" fontId="13" fillId="0" borderId="0" xfId="13" applyFont="1" applyAlignment="1">
      <alignment vertical="center"/>
    </xf>
    <xf numFmtId="0" fontId="9" fillId="0" borderId="38" xfId="13" applyBorder="1" applyAlignment="1">
      <alignment vertical="center"/>
    </xf>
    <xf numFmtId="4" fontId="11" fillId="0" borderId="9" xfId="13" applyNumberFormat="1" applyFont="1" applyBorder="1" applyAlignment="1">
      <alignment horizontal="centerContinuous" vertical="center"/>
    </xf>
    <xf numFmtId="168" fontId="11" fillId="0" borderId="1" xfId="13" applyNumberFormat="1" applyFont="1" applyBorder="1" applyAlignment="1">
      <alignment vertical="center"/>
    </xf>
    <xf numFmtId="168" fontId="11" fillId="0" borderId="36" xfId="13" applyNumberFormat="1" applyFont="1" applyBorder="1" applyAlignment="1">
      <alignment vertical="center"/>
    </xf>
    <xf numFmtId="4" fontId="11" fillId="0" borderId="6" xfId="13" applyNumberFormat="1" applyFont="1" applyBorder="1" applyAlignment="1">
      <alignment horizontal="centerContinuous" vertical="center"/>
    </xf>
    <xf numFmtId="164" fontId="11" fillId="0" borderId="34" xfId="13" applyNumberFormat="1" applyFont="1" applyBorder="1" applyAlignment="1">
      <alignment vertical="center"/>
    </xf>
    <xf numFmtId="0" fontId="21" fillId="2" borderId="16" xfId="13" applyFont="1" applyFill="1" applyBorder="1" applyAlignment="1">
      <alignment horizontal="center" vertical="center"/>
    </xf>
    <xf numFmtId="0" fontId="21" fillId="2" borderId="17" xfId="13" applyFont="1" applyFill="1" applyBorder="1" applyAlignment="1">
      <alignment horizontal="center" vertical="center"/>
    </xf>
    <xf numFmtId="0" fontId="9" fillId="0" borderId="1" xfId="13" applyBorder="1" applyAlignment="1">
      <alignment vertical="center"/>
    </xf>
    <xf numFmtId="0" fontId="9" fillId="0" borderId="1" xfId="13" applyBorder="1" applyAlignment="1">
      <alignment horizontal="center" vertical="center"/>
    </xf>
    <xf numFmtId="43" fontId="9" fillId="3" borderId="1" xfId="13" applyNumberFormat="1" applyFill="1" applyBorder="1" applyAlignment="1">
      <alignment vertical="center"/>
    </xf>
    <xf numFmtId="165" fontId="9" fillId="0" borderId="0" xfId="3" applyFont="1" applyFill="1" applyBorder="1" applyAlignment="1">
      <alignment horizontal="center" vertical="center"/>
    </xf>
    <xf numFmtId="0" fontId="11" fillId="0" borderId="5" xfId="13" applyFont="1" applyBorder="1" applyAlignment="1">
      <alignment vertical="center"/>
    </xf>
    <xf numFmtId="0" fontId="11" fillId="0" borderId="6" xfId="13" applyFont="1" applyBorder="1" applyAlignment="1">
      <alignment vertical="center"/>
    </xf>
    <xf numFmtId="0" fontId="9" fillId="0" borderId="6" xfId="13" applyBorder="1" applyAlignment="1">
      <alignment vertical="center"/>
    </xf>
    <xf numFmtId="0" fontId="9" fillId="0" borderId="2" xfId="13" applyBorder="1" applyAlignment="1">
      <alignment vertical="center"/>
    </xf>
    <xf numFmtId="0" fontId="9" fillId="0" borderId="2" xfId="13" applyBorder="1" applyAlignment="1">
      <alignment horizontal="center" vertical="center"/>
    </xf>
    <xf numFmtId="0" fontId="11" fillId="0" borderId="25" xfId="13" applyFont="1" applyBorder="1" applyAlignment="1">
      <alignment vertical="center"/>
    </xf>
    <xf numFmtId="0" fontId="9" fillId="0" borderId="26" xfId="13" applyBorder="1" applyAlignment="1">
      <alignment vertical="center"/>
    </xf>
    <xf numFmtId="165" fontId="9" fillId="0" borderId="26" xfId="3" applyFont="1" applyBorder="1" applyAlignment="1">
      <alignment vertical="center"/>
    </xf>
    <xf numFmtId="165" fontId="9" fillId="0" borderId="27" xfId="3" applyFont="1" applyBorder="1" applyAlignment="1">
      <alignment vertical="center"/>
    </xf>
    <xf numFmtId="165" fontId="11" fillId="2" borderId="56" xfId="3" applyFont="1" applyFill="1" applyBorder="1" applyAlignment="1">
      <alignment vertical="center"/>
    </xf>
    <xf numFmtId="0" fontId="12" fillId="0" borderId="8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3" fontId="12" fillId="0" borderId="9" xfId="13" applyNumberFormat="1" applyFont="1" applyBorder="1" applyAlignment="1">
      <alignment vertical="center"/>
    </xf>
    <xf numFmtId="165" fontId="12" fillId="0" borderId="9" xfId="3" applyFont="1" applyFill="1" applyBorder="1" applyAlignment="1">
      <alignment vertical="center"/>
    </xf>
    <xf numFmtId="165" fontId="12" fillId="0" borderId="10" xfId="3" applyFont="1" applyBorder="1" applyAlignment="1">
      <alignment vertical="center"/>
    </xf>
    <xf numFmtId="165" fontId="9" fillId="0" borderId="0" xfId="3" applyFont="1" applyFill="1" applyAlignment="1">
      <alignment vertical="center"/>
    </xf>
    <xf numFmtId="0" fontId="5" fillId="0" borderId="0" xfId="27"/>
    <xf numFmtId="0" fontId="32" fillId="0" borderId="0" xfId="27" applyFont="1" applyAlignment="1">
      <alignment horizontal="center" wrapText="1"/>
    </xf>
    <xf numFmtId="0" fontId="5" fillId="0" borderId="0" xfId="27" applyAlignment="1">
      <alignment horizontal="center"/>
    </xf>
    <xf numFmtId="0" fontId="5" fillId="0" borderId="0" xfId="27" applyAlignment="1">
      <alignment horizontal="center" wrapText="1"/>
    </xf>
    <xf numFmtId="0" fontId="32" fillId="0" borderId="0" xfId="27" applyFont="1" applyAlignment="1">
      <alignment horizontal="center" vertical="center" wrapText="1"/>
    </xf>
    <xf numFmtId="0" fontId="5" fillId="0" borderId="0" xfId="27" applyAlignment="1">
      <alignment horizontal="center" vertical="center" wrapText="1"/>
    </xf>
    <xf numFmtId="0" fontId="5" fillId="0" borderId="23" xfId="27" applyBorder="1" applyAlignment="1">
      <alignment horizontal="center"/>
    </xf>
    <xf numFmtId="0" fontId="5" fillId="0" borderId="1" xfId="27" applyBorder="1" applyAlignment="1">
      <alignment horizontal="center"/>
    </xf>
    <xf numFmtId="0" fontId="5" fillId="0" borderId="20" xfId="27" applyBorder="1" applyAlignment="1">
      <alignment horizontal="center"/>
    </xf>
    <xf numFmtId="4" fontId="0" fillId="0" borderId="1" xfId="28" applyNumberFormat="1" applyFont="1" applyFill="1" applyBorder="1" applyAlignment="1">
      <alignment horizontal="right"/>
    </xf>
    <xf numFmtId="0" fontId="5" fillId="0" borderId="20" xfId="27" applyBorder="1"/>
    <xf numFmtId="49" fontId="5" fillId="0" borderId="1" xfId="27" applyNumberFormat="1" applyBorder="1" applyAlignment="1">
      <alignment horizontal="center"/>
    </xf>
    <xf numFmtId="4" fontId="0" fillId="0" borderId="1" xfId="28" applyNumberFormat="1" applyFont="1" applyBorder="1" applyAlignment="1">
      <alignment horizontal="right"/>
    </xf>
    <xf numFmtId="2" fontId="5" fillId="0" borderId="1" xfId="27" applyNumberFormat="1" applyBorder="1"/>
    <xf numFmtId="2" fontId="5" fillId="0" borderId="23" xfId="27" applyNumberFormat="1" applyBorder="1" applyAlignment="1">
      <alignment horizontal="center"/>
    </xf>
    <xf numFmtId="1" fontId="5" fillId="0" borderId="1" xfId="27" applyNumberFormat="1" applyBorder="1" applyAlignment="1">
      <alignment horizontal="right" vertical="center"/>
    </xf>
    <xf numFmtId="0" fontId="5" fillId="0" borderId="1" xfId="27" applyBorder="1" applyAlignment="1">
      <alignment horizontal="left" vertical="center"/>
    </xf>
    <xf numFmtId="2" fontId="5" fillId="0" borderId="20" xfId="27" applyNumberFormat="1" applyBorder="1"/>
    <xf numFmtId="2" fontId="5" fillId="0" borderId="0" xfId="27" applyNumberFormat="1"/>
    <xf numFmtId="173" fontId="0" fillId="0" borderId="1" xfId="28" applyNumberFormat="1" applyFont="1" applyBorder="1" applyAlignment="1">
      <alignment horizontal="right"/>
    </xf>
    <xf numFmtId="2" fontId="32" fillId="0" borderId="1" xfId="28" applyNumberFormat="1" applyFont="1" applyBorder="1"/>
    <xf numFmtId="0" fontId="32" fillId="0" borderId="20" xfId="27" applyFont="1" applyBorder="1"/>
    <xf numFmtId="2" fontId="5" fillId="0" borderId="0" xfId="27" applyNumberFormat="1" applyAlignment="1">
      <alignment horizontal="center"/>
    </xf>
    <xf numFmtId="2" fontId="32" fillId="0" borderId="59" xfId="28" applyNumberFormat="1" applyFont="1" applyBorder="1"/>
    <xf numFmtId="0" fontId="32" fillId="0" borderId="31" xfId="27" applyFont="1" applyBorder="1"/>
    <xf numFmtId="2" fontId="32" fillId="0" borderId="1" xfId="27" applyNumberFormat="1" applyFont="1" applyBorder="1"/>
    <xf numFmtId="2" fontId="32" fillId="0" borderId="20" xfId="27" applyNumberFormat="1" applyFont="1" applyBorder="1"/>
    <xf numFmtId="2" fontId="32" fillId="0" borderId="0" xfId="27" applyNumberFormat="1" applyFont="1"/>
    <xf numFmtId="4" fontId="32" fillId="0" borderId="36" xfId="27" applyNumberFormat="1" applyFont="1" applyBorder="1"/>
    <xf numFmtId="2" fontId="32" fillId="0" borderId="37" xfId="27" applyNumberFormat="1" applyFont="1" applyBorder="1"/>
    <xf numFmtId="173" fontId="32" fillId="0" borderId="0" xfId="27" applyNumberFormat="1" applyFont="1" applyAlignment="1">
      <alignment horizontal="center"/>
    </xf>
    <xf numFmtId="2" fontId="5" fillId="0" borderId="0" xfId="27" applyNumberFormat="1" applyAlignment="1">
      <alignment horizontal="left" vertical="center"/>
    </xf>
    <xf numFmtId="2" fontId="32" fillId="0" borderId="36" xfId="28" applyNumberFormat="1" applyFont="1" applyBorder="1"/>
    <xf numFmtId="0" fontId="32" fillId="0" borderId="37" xfId="27" applyFont="1" applyBorder="1"/>
    <xf numFmtId="169" fontId="5" fillId="0" borderId="0" xfId="27" applyNumberFormat="1" applyAlignment="1">
      <alignment horizontal="center"/>
    </xf>
    <xf numFmtId="2" fontId="32" fillId="0" borderId="59" xfId="28" applyNumberFormat="1" applyFont="1" applyBorder="1" applyAlignment="1">
      <alignment horizontal="right"/>
    </xf>
    <xf numFmtId="0" fontId="5" fillId="0" borderId="0" xfId="27" applyAlignment="1">
      <alignment vertical="center" wrapText="1"/>
    </xf>
    <xf numFmtId="0" fontId="32" fillId="0" borderId="0" xfId="27" applyFont="1" applyAlignment="1">
      <alignment vertical="center" wrapText="1"/>
    </xf>
    <xf numFmtId="2" fontId="5" fillId="0" borderId="0" xfId="27" applyNumberFormat="1" applyAlignment="1">
      <alignment vertical="center"/>
    </xf>
    <xf numFmtId="173" fontId="0" fillId="0" borderId="0" xfId="28" applyNumberFormat="1" applyFont="1" applyBorder="1" applyAlignment="1">
      <alignment horizontal="right"/>
    </xf>
    <xf numFmtId="2" fontId="32" fillId="0" borderId="0" xfId="28" applyNumberFormat="1" applyFont="1" applyBorder="1"/>
    <xf numFmtId="0" fontId="32" fillId="0" borderId="0" xfId="27" applyFont="1"/>
    <xf numFmtId="4" fontId="0" fillId="0" borderId="0" xfId="28" applyNumberFormat="1" applyFont="1" applyFill="1" applyBorder="1" applyAlignment="1">
      <alignment horizontal="right"/>
    </xf>
    <xf numFmtId="0" fontId="4" fillId="0" borderId="1" xfId="27" applyFont="1" applyBorder="1" applyAlignment="1">
      <alignment horizontal="center" vertical="center"/>
    </xf>
    <xf numFmtId="2" fontId="4" fillId="0" borderId="23" xfId="27" applyNumberFormat="1" applyFont="1" applyBorder="1" applyAlignment="1">
      <alignment horizontal="center"/>
    </xf>
    <xf numFmtId="173" fontId="5" fillId="0" borderId="0" xfId="27" applyNumberFormat="1"/>
    <xf numFmtId="4" fontId="5" fillId="0" borderId="0" xfId="27" applyNumberFormat="1"/>
    <xf numFmtId="173" fontId="5" fillId="0" borderId="1" xfId="27" applyNumberFormat="1" applyBorder="1" applyAlignment="1">
      <alignment horizontal="right" vertical="center"/>
    </xf>
    <xf numFmtId="20" fontId="8" fillId="0" borderId="0" xfId="4" applyNumberFormat="1"/>
    <xf numFmtId="0" fontId="32" fillId="0" borderId="1" xfId="4" applyFont="1" applyBorder="1" applyAlignment="1">
      <alignment wrapText="1"/>
    </xf>
    <xf numFmtId="165" fontId="32" fillId="0" borderId="1" xfId="3" applyFont="1" applyBorder="1" applyAlignment="1">
      <alignment horizontal="center"/>
    </xf>
    <xf numFmtId="0" fontId="32" fillId="0" borderId="0" xfId="4" applyFont="1" applyAlignment="1">
      <alignment horizontal="center"/>
    </xf>
    <xf numFmtId="20" fontId="32" fillId="0" borderId="0" xfId="4" applyNumberFormat="1" applyFont="1"/>
    <xf numFmtId="165" fontId="32" fillId="0" borderId="0" xfId="3" applyFont="1" applyBorder="1" applyAlignment="1">
      <alignment horizontal="center"/>
    </xf>
    <xf numFmtId="0" fontId="39" fillId="0" borderId="0" xfId="29" applyFont="1"/>
    <xf numFmtId="0" fontId="3" fillId="0" borderId="0" xfId="29"/>
    <xf numFmtId="0" fontId="32" fillId="0" borderId="0" xfId="29" applyFont="1"/>
    <xf numFmtId="0" fontId="0" fillId="0" borderId="0" xfId="29" applyFont="1"/>
    <xf numFmtId="0" fontId="32" fillId="0" borderId="2" xfId="29" applyFont="1" applyBorder="1" applyAlignment="1">
      <alignment horizontal="center"/>
    </xf>
    <xf numFmtId="0" fontId="3" fillId="0" borderId="1" xfId="29" applyBorder="1" applyAlignment="1">
      <alignment horizontal="center"/>
    </xf>
    <xf numFmtId="17" fontId="3" fillId="0" borderId="1" xfId="29" applyNumberFormat="1" applyBorder="1" applyAlignment="1">
      <alignment horizontal="center"/>
    </xf>
    <xf numFmtId="174" fontId="0" fillId="0" borderId="1" xfId="30" applyNumberFormat="1" applyFont="1" applyBorder="1" applyAlignment="1">
      <alignment horizontal="center"/>
    </xf>
    <xf numFmtId="174" fontId="11" fillId="0" borderId="1" xfId="30" applyNumberFormat="1" applyFont="1" applyBorder="1" applyAlignment="1"/>
    <xf numFmtId="0" fontId="32" fillId="0" borderId="1" xfId="29" applyFont="1" applyBorder="1"/>
    <xf numFmtId="0" fontId="3" fillId="0" borderId="1" xfId="29" applyBorder="1"/>
    <xf numFmtId="0" fontId="32" fillId="0" borderId="1" xfId="29" applyFont="1" applyBorder="1" applyAlignment="1">
      <alignment horizontal="right"/>
    </xf>
    <xf numFmtId="43" fontId="32" fillId="0" borderId="1" xfId="29" applyNumberFormat="1" applyFont="1" applyBorder="1"/>
    <xf numFmtId="43" fontId="3" fillId="0" borderId="0" xfId="29" applyNumberFormat="1"/>
    <xf numFmtId="43" fontId="32" fillId="0" borderId="1" xfId="31" applyNumberFormat="1" applyFont="1" applyBorder="1" applyAlignment="1">
      <alignment horizontal="center"/>
    </xf>
    <xf numFmtId="43" fontId="32" fillId="0" borderId="3" xfId="31" applyNumberFormat="1" applyFont="1" applyBorder="1" applyAlignment="1">
      <alignment horizontal="center"/>
    </xf>
    <xf numFmtId="0" fontId="32" fillId="0" borderId="8" xfId="31" applyFont="1" applyBorder="1"/>
    <xf numFmtId="0" fontId="32" fillId="0" borderId="10" xfId="31" applyFont="1" applyBorder="1"/>
    <xf numFmtId="43" fontId="0" fillId="0" borderId="0" xfId="0" applyNumberFormat="1"/>
    <xf numFmtId="13" fontId="9" fillId="3" borderId="1" xfId="0" applyNumberFormat="1" applyFont="1" applyFill="1" applyBorder="1" applyAlignment="1">
      <alignment vertical="center"/>
    </xf>
    <xf numFmtId="165" fontId="0" fillId="3" borderId="1" xfId="3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/>
    </xf>
    <xf numFmtId="0" fontId="32" fillId="0" borderId="0" xfId="27" applyFont="1" applyAlignment="1">
      <alignment horizontal="center"/>
    </xf>
    <xf numFmtId="0" fontId="2" fillId="0" borderId="0" xfId="4" applyFont="1"/>
    <xf numFmtId="0" fontId="2" fillId="3" borderId="0" xfId="4" applyFont="1" applyFill="1"/>
    <xf numFmtId="20" fontId="8" fillId="3" borderId="0" xfId="4" applyNumberFormat="1" applyFill="1"/>
    <xf numFmtId="20" fontId="2" fillId="3" borderId="0" xfId="4" applyNumberFormat="1" applyFont="1" applyFill="1"/>
    <xf numFmtId="0" fontId="1" fillId="3" borderId="0" xfId="4" applyFont="1" applyFill="1"/>
    <xf numFmtId="0" fontId="5" fillId="0" borderId="0" xfId="27" applyAlignment="1">
      <alignment horizontal="center"/>
    </xf>
    <xf numFmtId="173" fontId="8" fillId="0" borderId="0" xfId="4" applyNumberFormat="1"/>
    <xf numFmtId="0" fontId="32" fillId="0" borderId="1" xfId="4" applyFont="1" applyBorder="1" applyAlignment="1">
      <alignment horizontal="center" wrapText="1"/>
    </xf>
    <xf numFmtId="0" fontId="32" fillId="0" borderId="0" xfId="27" applyFont="1" applyBorder="1" applyAlignment="1">
      <alignment horizontal="center"/>
    </xf>
    <xf numFmtId="0" fontId="5" fillId="0" borderId="0" xfId="27" applyBorder="1" applyAlignment="1">
      <alignment horizontal="center"/>
    </xf>
    <xf numFmtId="0" fontId="5" fillId="0" borderId="0" xfId="27" applyBorder="1"/>
    <xf numFmtId="0" fontId="32" fillId="0" borderId="0" xfId="27" applyFont="1" applyBorder="1"/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5" fontId="11" fillId="0" borderId="14" xfId="3" applyFont="1" applyBorder="1" applyAlignment="1">
      <alignment horizontal="left" vertical="center"/>
    </xf>
    <xf numFmtId="165" fontId="11" fillId="0" borderId="9" xfId="3" applyFont="1" applyBorder="1" applyAlignment="1">
      <alignment horizontal="left" vertical="center"/>
    </xf>
    <xf numFmtId="0" fontId="23" fillId="8" borderId="25" xfId="0" applyFont="1" applyFill="1" applyBorder="1" applyAlignment="1">
      <alignment horizontal="center" vertical="center"/>
    </xf>
    <xf numFmtId="0" fontId="23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/>
    </xf>
    <xf numFmtId="0" fontId="15" fillId="8" borderId="42" xfId="0" applyFont="1" applyFill="1" applyBorder="1" applyAlignment="1">
      <alignment horizontal="center" vertical="center"/>
    </xf>
    <xf numFmtId="0" fontId="15" fillId="8" borderId="45" xfId="0" applyFont="1" applyFill="1" applyBorder="1" applyAlignment="1">
      <alignment horizontal="center" vertical="center"/>
    </xf>
    <xf numFmtId="165" fontId="11" fillId="0" borderId="5" xfId="3" applyFont="1" applyBorder="1" applyAlignment="1">
      <alignment horizontal="center" vertical="center"/>
    </xf>
    <xf numFmtId="165" fontId="11" fillId="0" borderId="6" xfId="3" applyFont="1" applyBorder="1" applyAlignment="1">
      <alignment horizontal="center" vertical="center"/>
    </xf>
    <xf numFmtId="165" fontId="11" fillId="0" borderId="43" xfId="3" applyFont="1" applyBorder="1" applyAlignment="1">
      <alignment horizontal="center" vertical="center"/>
    </xf>
    <xf numFmtId="165" fontId="12" fillId="8" borderId="5" xfId="3" applyFont="1" applyFill="1" applyBorder="1" applyAlignment="1">
      <alignment horizontal="center" vertical="center"/>
    </xf>
    <xf numFmtId="165" fontId="12" fillId="8" borderId="6" xfId="3" applyFont="1" applyFill="1" applyBorder="1" applyAlignment="1">
      <alignment horizontal="center" vertical="center"/>
    </xf>
    <xf numFmtId="165" fontId="12" fillId="8" borderId="7" xfId="3" applyFont="1" applyFill="1" applyBorder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165" fontId="37" fillId="4" borderId="0" xfId="3" applyFont="1" applyFill="1" applyAlignment="1">
      <alignment horizontal="center" vertical="center"/>
    </xf>
    <xf numFmtId="165" fontId="38" fillId="4" borderId="0" xfId="3" applyFont="1" applyFill="1" applyAlignment="1">
      <alignment horizontal="center" vertical="center"/>
    </xf>
    <xf numFmtId="0" fontId="23" fillId="8" borderId="25" xfId="13" applyFont="1" applyFill="1" applyBorder="1" applyAlignment="1">
      <alignment horizontal="center" vertical="center"/>
    </xf>
    <xf numFmtId="0" fontId="23" fillId="8" borderId="26" xfId="13" applyFont="1" applyFill="1" applyBorder="1" applyAlignment="1">
      <alignment horizontal="center" vertical="center"/>
    </xf>
    <xf numFmtId="0" fontId="23" fillId="8" borderId="27" xfId="13" applyFont="1" applyFill="1" applyBorder="1" applyAlignment="1">
      <alignment horizontal="center" vertical="center"/>
    </xf>
    <xf numFmtId="0" fontId="15" fillId="8" borderId="44" xfId="13" applyFont="1" applyFill="1" applyBorder="1" applyAlignment="1">
      <alignment horizontal="center" vertical="center"/>
    </xf>
    <xf numFmtId="0" fontId="15" fillId="8" borderId="42" xfId="13" applyFont="1" applyFill="1" applyBorder="1" applyAlignment="1">
      <alignment horizontal="center" vertical="center"/>
    </xf>
    <xf numFmtId="0" fontId="15" fillId="8" borderId="45" xfId="13" applyFont="1" applyFill="1" applyBorder="1" applyAlignment="1">
      <alignment horizontal="center" vertical="center"/>
    </xf>
    <xf numFmtId="0" fontId="23" fillId="8" borderId="21" xfId="0" applyFont="1" applyFill="1" applyBorder="1" applyAlignment="1">
      <alignment horizontal="center" vertical="center"/>
    </xf>
    <xf numFmtId="0" fontId="23" fillId="8" borderId="22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3" fillId="10" borderId="19" xfId="0" applyFont="1" applyFill="1" applyBorder="1" applyAlignment="1">
      <alignment horizontal="center"/>
    </xf>
    <xf numFmtId="0" fontId="23" fillId="10" borderId="46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9" fontId="15" fillId="0" borderId="21" xfId="2" applyFont="1" applyBorder="1" applyAlignment="1">
      <alignment horizontal="center"/>
    </xf>
    <xf numFmtId="9" fontId="15" fillId="0" borderId="22" xfId="2" applyFont="1" applyBorder="1" applyAlignment="1">
      <alignment horizontal="center"/>
    </xf>
    <xf numFmtId="9" fontId="15" fillId="0" borderId="12" xfId="2" applyFont="1" applyBorder="1" applyAlignment="1">
      <alignment horizontal="center"/>
    </xf>
    <xf numFmtId="0" fontId="12" fillId="10" borderId="25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/>
    </xf>
    <xf numFmtId="0" fontId="32" fillId="0" borderId="8" xfId="31" applyFont="1" applyBorder="1" applyAlignment="1">
      <alignment horizontal="left"/>
    </xf>
    <xf numFmtId="0" fontId="32" fillId="0" borderId="10" xfId="31" applyFont="1" applyBorder="1" applyAlignment="1">
      <alignment horizontal="left"/>
    </xf>
    <xf numFmtId="0" fontId="32" fillId="0" borderId="8" xfId="31" applyFont="1" applyBorder="1" applyAlignment="1">
      <alignment horizontal="left" wrapText="1"/>
    </xf>
    <xf numFmtId="0" fontId="32" fillId="0" borderId="10" xfId="31" applyFont="1" applyBorder="1" applyAlignment="1">
      <alignment horizontal="left" wrapText="1"/>
    </xf>
    <xf numFmtId="0" fontId="32" fillId="0" borderId="1" xfId="29" applyFont="1" applyBorder="1" applyAlignment="1">
      <alignment horizontal="center"/>
    </xf>
    <xf numFmtId="0" fontId="32" fillId="0" borderId="8" xfId="29" applyFont="1" applyBorder="1" applyAlignment="1">
      <alignment horizontal="left"/>
    </xf>
    <xf numFmtId="0" fontId="32" fillId="0" borderId="10" xfId="29" applyFont="1" applyBorder="1" applyAlignment="1">
      <alignment horizontal="left"/>
    </xf>
    <xf numFmtId="0" fontId="32" fillId="0" borderId="8" xfId="31" applyFont="1" applyBorder="1" applyAlignment="1">
      <alignment horizontal="center"/>
    </xf>
    <xf numFmtId="0" fontId="32" fillId="0" borderId="10" xfId="31" applyFont="1" applyBorder="1" applyAlignment="1">
      <alignment horizontal="center"/>
    </xf>
    <xf numFmtId="0" fontId="32" fillId="0" borderId="61" xfId="31" applyFont="1" applyBorder="1" applyAlignment="1">
      <alignment horizontal="center"/>
    </xf>
    <xf numFmtId="0" fontId="32" fillId="0" borderId="62" xfId="31" applyFont="1" applyBorder="1" applyAlignment="1">
      <alignment horizontal="center"/>
    </xf>
    <xf numFmtId="0" fontId="12" fillId="10" borderId="5" xfId="0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5" fillId="0" borderId="14" xfId="27" applyBorder="1" applyAlignment="1">
      <alignment horizontal="center"/>
    </xf>
    <xf numFmtId="0" fontId="5" fillId="0" borderId="9" xfId="27" applyBorder="1" applyAlignment="1">
      <alignment horizontal="center"/>
    </xf>
    <xf numFmtId="0" fontId="5" fillId="0" borderId="10" xfId="27" applyBorder="1" applyAlignment="1">
      <alignment horizontal="center"/>
    </xf>
    <xf numFmtId="0" fontId="4" fillId="0" borderId="14" xfId="27" applyFont="1" applyBorder="1" applyAlignment="1">
      <alignment horizontal="center"/>
    </xf>
    <xf numFmtId="0" fontId="5" fillId="0" borderId="15" xfId="27" applyBorder="1" applyAlignment="1">
      <alignment horizontal="center"/>
    </xf>
    <xf numFmtId="0" fontId="32" fillId="0" borderId="5" xfId="27" applyFont="1" applyBorder="1" applyAlignment="1">
      <alignment horizontal="center"/>
    </xf>
    <xf numFmtId="0" fontId="32" fillId="0" borderId="6" xfId="27" applyFont="1" applyBorder="1" applyAlignment="1">
      <alignment horizontal="center"/>
    </xf>
    <xf numFmtId="0" fontId="32" fillId="0" borderId="7" xfId="27" applyFont="1" applyBorder="1" applyAlignment="1">
      <alignment horizontal="center"/>
    </xf>
    <xf numFmtId="0" fontId="32" fillId="0" borderId="5" xfId="27" applyFont="1" applyBorder="1" applyAlignment="1">
      <alignment horizontal="center" wrapText="1"/>
    </xf>
    <xf numFmtId="0" fontId="32" fillId="0" borderId="6" xfId="27" applyFont="1" applyBorder="1" applyAlignment="1">
      <alignment horizontal="center" wrapText="1"/>
    </xf>
    <xf numFmtId="0" fontId="32" fillId="0" borderId="7" xfId="27" applyFont="1" applyBorder="1" applyAlignment="1">
      <alignment horizontal="center" wrapText="1"/>
    </xf>
    <xf numFmtId="0" fontId="5" fillId="0" borderId="5" xfId="27" applyBorder="1" applyAlignment="1">
      <alignment horizontal="center"/>
    </xf>
    <xf numFmtId="0" fontId="5" fillId="0" borderId="6" xfId="27" applyBorder="1" applyAlignment="1">
      <alignment horizontal="center"/>
    </xf>
    <xf numFmtId="0" fontId="5" fillId="0" borderId="7" xfId="27" applyBorder="1" applyAlignment="1">
      <alignment horizontal="center"/>
    </xf>
    <xf numFmtId="0" fontId="5" fillId="0" borderId="5" xfId="27" applyBorder="1" applyAlignment="1">
      <alignment horizontal="center" wrapText="1"/>
    </xf>
    <xf numFmtId="0" fontId="5" fillId="0" borderId="6" xfId="27" applyBorder="1" applyAlignment="1">
      <alignment horizontal="center" wrapText="1"/>
    </xf>
    <xf numFmtId="0" fontId="5" fillId="0" borderId="7" xfId="27" applyBorder="1" applyAlignment="1">
      <alignment horizontal="center" wrapText="1"/>
    </xf>
    <xf numFmtId="0" fontId="32" fillId="0" borderId="16" xfId="27" applyFont="1" applyBorder="1" applyAlignment="1">
      <alignment horizontal="center"/>
    </xf>
    <xf numFmtId="0" fontId="32" fillId="0" borderId="17" xfId="27" applyFont="1" applyBorder="1" applyAlignment="1">
      <alignment horizontal="center"/>
    </xf>
    <xf numFmtId="0" fontId="32" fillId="0" borderId="18" xfId="27" applyFont="1" applyBorder="1" applyAlignment="1">
      <alignment horizontal="center"/>
    </xf>
    <xf numFmtId="0" fontId="32" fillId="0" borderId="5" xfId="27" applyFont="1" applyBorder="1" applyAlignment="1">
      <alignment horizontal="center" vertical="center" wrapText="1"/>
    </xf>
    <xf numFmtId="0" fontId="32" fillId="0" borderId="6" xfId="27" applyFont="1" applyBorder="1" applyAlignment="1">
      <alignment horizontal="center" vertical="center" wrapText="1"/>
    </xf>
    <xf numFmtId="0" fontId="32" fillId="0" borderId="7" xfId="27" applyFont="1" applyBorder="1" applyAlignment="1">
      <alignment horizontal="center" vertical="center" wrapText="1"/>
    </xf>
    <xf numFmtId="0" fontId="5" fillId="0" borderId="21" xfId="27" applyBorder="1" applyAlignment="1">
      <alignment horizontal="center"/>
    </xf>
    <xf numFmtId="0" fontId="5" fillId="0" borderId="22" xfId="27" applyBorder="1" applyAlignment="1">
      <alignment horizontal="center"/>
    </xf>
    <xf numFmtId="0" fontId="5" fillId="0" borderId="12" xfId="27" applyBorder="1" applyAlignment="1">
      <alignment horizontal="center"/>
    </xf>
    <xf numFmtId="0" fontId="32" fillId="0" borderId="19" xfId="27" applyFont="1" applyBorder="1" applyAlignment="1">
      <alignment horizontal="center"/>
    </xf>
    <xf numFmtId="0" fontId="32" fillId="0" borderId="11" xfId="27" applyFont="1" applyBorder="1" applyAlignment="1">
      <alignment horizontal="center"/>
    </xf>
    <xf numFmtId="0" fontId="32" fillId="0" borderId="46" xfId="27" applyFont="1" applyBorder="1" applyAlignment="1">
      <alignment horizontal="center"/>
    </xf>
    <xf numFmtId="2" fontId="5" fillId="0" borderId="21" xfId="27" applyNumberFormat="1" applyBorder="1" applyAlignment="1">
      <alignment horizontal="center" vertical="center"/>
    </xf>
    <xf numFmtId="2" fontId="5" fillId="0" borderId="23" xfId="27" applyNumberFormat="1" applyBorder="1" applyAlignment="1">
      <alignment horizontal="center" vertical="center"/>
    </xf>
    <xf numFmtId="0" fontId="5" fillId="0" borderId="22" xfId="27" applyBorder="1" applyAlignment="1">
      <alignment horizontal="center" vertical="center" wrapText="1"/>
    </xf>
    <xf numFmtId="0" fontId="5" fillId="0" borderId="1" xfId="27" applyBorder="1" applyAlignment="1">
      <alignment horizontal="center" vertical="center" wrapText="1"/>
    </xf>
    <xf numFmtId="0" fontId="5" fillId="0" borderId="12" xfId="27" applyBorder="1" applyAlignment="1">
      <alignment horizontal="center" vertical="center" wrapText="1"/>
    </xf>
    <xf numFmtId="0" fontId="5" fillId="0" borderId="20" xfId="27" applyBorder="1" applyAlignment="1">
      <alignment horizontal="center" vertical="center" wrapText="1"/>
    </xf>
    <xf numFmtId="0" fontId="5" fillId="0" borderId="58" xfId="27" applyBorder="1" applyAlignment="1">
      <alignment horizontal="right"/>
    </xf>
    <xf numFmtId="0" fontId="5" fillId="0" borderId="59" xfId="27" applyBorder="1" applyAlignment="1">
      <alignment horizontal="right"/>
    </xf>
    <xf numFmtId="0" fontId="5" fillId="0" borderId="23" xfId="27" applyBorder="1" applyAlignment="1">
      <alignment horizontal="center" vertical="center" wrapText="1"/>
    </xf>
    <xf numFmtId="0" fontId="5" fillId="0" borderId="40" xfId="27" applyBorder="1" applyAlignment="1">
      <alignment horizontal="center"/>
    </xf>
    <xf numFmtId="0" fontId="5" fillId="0" borderId="41" xfId="27" applyBorder="1" applyAlignment="1">
      <alignment horizontal="center"/>
    </xf>
    <xf numFmtId="0" fontId="5" fillId="0" borderId="57" xfId="27" applyBorder="1" applyAlignment="1">
      <alignment horizontal="center"/>
    </xf>
    <xf numFmtId="0" fontId="5" fillId="0" borderId="25" xfId="27" applyBorder="1" applyAlignment="1">
      <alignment horizontal="center"/>
    </xf>
    <xf numFmtId="0" fontId="5" fillId="0" borderId="26" xfId="27" applyBorder="1" applyAlignment="1">
      <alignment horizontal="center"/>
    </xf>
    <xf numFmtId="0" fontId="5" fillId="0" borderId="27" xfId="27" applyBorder="1" applyAlignment="1">
      <alignment horizontal="center"/>
    </xf>
    <xf numFmtId="0" fontId="5" fillId="0" borderId="28" xfId="27" applyBorder="1" applyAlignment="1">
      <alignment horizontal="center"/>
    </xf>
    <xf numFmtId="0" fontId="5" fillId="0" borderId="29" xfId="27" applyBorder="1" applyAlignment="1">
      <alignment horizontal="center"/>
    </xf>
    <xf numFmtId="0" fontId="5" fillId="0" borderId="30" xfId="27" applyBorder="1" applyAlignment="1">
      <alignment horizontal="center"/>
    </xf>
    <xf numFmtId="0" fontId="5" fillId="0" borderId="14" xfId="27" applyBorder="1" applyAlignment="1">
      <alignment horizontal="right"/>
    </xf>
    <xf numFmtId="0" fontId="5" fillId="0" borderId="9" xfId="27" applyBorder="1" applyAlignment="1">
      <alignment horizontal="right"/>
    </xf>
    <xf numFmtId="0" fontId="5" fillId="0" borderId="10" xfId="27" applyBorder="1" applyAlignment="1">
      <alignment horizontal="right"/>
    </xf>
    <xf numFmtId="2" fontId="5" fillId="0" borderId="14" xfId="27" applyNumberFormat="1" applyBorder="1" applyAlignment="1">
      <alignment horizontal="center"/>
    </xf>
    <xf numFmtId="2" fontId="5" fillId="0" borderId="9" xfId="27" applyNumberFormat="1" applyBorder="1" applyAlignment="1">
      <alignment horizontal="center"/>
    </xf>
    <xf numFmtId="2" fontId="5" fillId="0" borderId="15" xfId="27" applyNumberFormat="1" applyBorder="1" applyAlignment="1">
      <alignment horizontal="center"/>
    </xf>
    <xf numFmtId="0" fontId="5" fillId="0" borderId="24" xfId="27" applyBorder="1" applyAlignment="1">
      <alignment horizontal="center" vertical="center" wrapText="1"/>
    </xf>
    <xf numFmtId="0" fontId="5" fillId="0" borderId="36" xfId="27" applyBorder="1" applyAlignment="1">
      <alignment horizontal="center" vertical="center" wrapText="1"/>
    </xf>
    <xf numFmtId="173" fontId="32" fillId="0" borderId="49" xfId="27" applyNumberFormat="1" applyFont="1" applyBorder="1" applyAlignment="1">
      <alignment horizontal="center"/>
    </xf>
    <xf numFmtId="173" fontId="32" fillId="0" borderId="2" xfId="27" applyNumberFormat="1" applyFont="1" applyBorder="1" applyAlignment="1">
      <alignment horizontal="center"/>
    </xf>
    <xf numFmtId="173" fontId="32" fillId="0" borderId="50" xfId="27" applyNumberFormat="1" applyFont="1" applyBorder="1" applyAlignment="1">
      <alignment horizontal="center"/>
    </xf>
    <xf numFmtId="173" fontId="32" fillId="0" borderId="24" xfId="27" applyNumberFormat="1" applyFont="1" applyBorder="1" applyAlignment="1">
      <alignment horizontal="center"/>
    </xf>
    <xf numFmtId="173" fontId="32" fillId="0" borderId="36" xfId="27" applyNumberFormat="1" applyFont="1" applyBorder="1" applyAlignment="1">
      <alignment horizontal="center"/>
    </xf>
    <xf numFmtId="173" fontId="32" fillId="0" borderId="37" xfId="27" applyNumberFormat="1" applyFont="1" applyBorder="1" applyAlignment="1">
      <alignment horizontal="center"/>
    </xf>
    <xf numFmtId="2" fontId="5" fillId="0" borderId="23" xfId="27" applyNumberFormat="1" applyBorder="1" applyAlignment="1">
      <alignment horizontal="center"/>
    </xf>
    <xf numFmtId="2" fontId="5" fillId="0" borderId="1" xfId="27" applyNumberFormat="1" applyBorder="1" applyAlignment="1">
      <alignment horizontal="center"/>
    </xf>
    <xf numFmtId="2" fontId="5" fillId="0" borderId="20" xfId="27" applyNumberFormat="1" applyBorder="1" applyAlignment="1">
      <alignment horizontal="center"/>
    </xf>
    <xf numFmtId="0" fontId="5" fillId="0" borderId="40" xfId="27" applyBorder="1" applyAlignment="1">
      <alignment horizontal="right"/>
    </xf>
    <xf numFmtId="0" fontId="5" fillId="0" borderId="41" xfId="27" applyBorder="1" applyAlignment="1">
      <alignment horizontal="right"/>
    </xf>
    <xf numFmtId="0" fontId="5" fillId="0" borderId="60" xfId="27" applyBorder="1" applyAlignment="1">
      <alignment horizontal="right"/>
    </xf>
    <xf numFmtId="0" fontId="5" fillId="0" borderId="0" xfId="27" applyAlignment="1">
      <alignment horizontal="center"/>
    </xf>
    <xf numFmtId="0" fontId="5" fillId="0" borderId="24" xfId="27" applyBorder="1" applyAlignment="1">
      <alignment horizontal="right"/>
    </xf>
    <xf numFmtId="0" fontId="5" fillId="0" borderId="36" xfId="27" applyBorder="1" applyAlignment="1">
      <alignment horizontal="right"/>
    </xf>
    <xf numFmtId="2" fontId="5" fillId="0" borderId="0" xfId="27" applyNumberFormat="1" applyAlignment="1">
      <alignment horizontal="center" vertical="center"/>
    </xf>
    <xf numFmtId="0" fontId="5" fillId="0" borderId="19" xfId="27" applyBorder="1" applyAlignment="1">
      <alignment horizontal="center"/>
    </xf>
    <xf numFmtId="0" fontId="5" fillId="0" borderId="11" xfId="27" applyBorder="1" applyAlignment="1">
      <alignment horizontal="center"/>
    </xf>
    <xf numFmtId="0" fontId="5" fillId="0" borderId="46" xfId="27" applyBorder="1" applyAlignment="1">
      <alignment horizontal="center"/>
    </xf>
  </cellXfs>
  <cellStyles count="32">
    <cellStyle name="Hiperlink" xfId="1" builtinId="8"/>
    <cellStyle name="Moeda 2" xfId="5"/>
    <cellStyle name="Moeda 3" xfId="12"/>
    <cellStyle name="Normal" xfId="0" builtinId="0"/>
    <cellStyle name="Normal 10" xfId="25"/>
    <cellStyle name="Normal 2" xfId="4"/>
    <cellStyle name="Normal 2 2" xfId="13"/>
    <cellStyle name="Normal 20" xfId="27"/>
    <cellStyle name="Normal 3" xfId="6"/>
    <cellStyle name="Normal 4" xfId="14"/>
    <cellStyle name="Normal 5" xfId="15"/>
    <cellStyle name="Normal 6" xfId="16"/>
    <cellStyle name="Normal 6 2" xfId="31"/>
    <cellStyle name="Normal 6 4" xfId="29"/>
    <cellStyle name="Normal 7" xfId="17"/>
    <cellStyle name="Normal 8" xfId="18"/>
    <cellStyle name="Normal 9" xfId="19"/>
    <cellStyle name="Porcentagem" xfId="2" builtinId="5"/>
    <cellStyle name="Porcentagem 2" xfId="7"/>
    <cellStyle name="Porcentagem 3" xfId="8"/>
    <cellStyle name="Separador de milhares 19" xfId="28"/>
    <cellStyle name="Separador de milhares 2" xfId="9"/>
    <cellStyle name="Separador de milhares 3" xfId="10"/>
    <cellStyle name="Separador de milhares 4" xfId="20"/>
    <cellStyle name="Separador de milhares 5" xfId="21"/>
    <cellStyle name="Separador de milhares 5 3" xfId="30"/>
    <cellStyle name="Separador de milhares 6" xfId="22"/>
    <cellStyle name="Separador de milhares 7" xfId="23"/>
    <cellStyle name="Separador de milhares 8" xfId="24"/>
    <cellStyle name="Separador de milhares 9" xfId="26"/>
    <cellStyle name="Vírgula" xfId="3" builtinId="3"/>
    <cellStyle name="Vírgula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360045</xdr:colOff>
      <xdr:row>174</xdr:row>
      <xdr:rowOff>66040</xdr:rowOff>
    </xdr:from>
    <xdr:to>
      <xdr:col>5</xdr:col>
      <xdr:colOff>760095</xdr:colOff>
      <xdr:row>174</xdr:row>
      <xdr:rowOff>66040</xdr:rowOff>
    </xdr:to>
    <xdr:cxnSp macro="">
      <xdr:nvCxnSpPr>
        <xdr:cNvPr id="2" name="Lin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4398645" y="20792440"/>
          <a:ext cx="3200400" cy="0"/>
        </a:xfrm>
        <a:prstGeom prst="line">
          <a:avLst/>
        </a:prstGeom>
        <a:noFill/>
        <a:ln w="10668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1" sqref="A11"/>
    </sheetView>
  </sheetViews>
  <sheetFormatPr defaultRowHeight="12.75" x14ac:dyDescent="0.2"/>
  <cols>
    <col min="2" max="2" width="22.7109375" customWidth="1"/>
    <col min="3" max="3" width="16.85546875" customWidth="1"/>
  </cols>
  <sheetData>
    <row r="1" spans="1:5" x14ac:dyDescent="0.2">
      <c r="A1" s="9" t="s">
        <v>344</v>
      </c>
    </row>
    <row r="2" spans="1:5" x14ac:dyDescent="0.2">
      <c r="A2" s="98" t="s">
        <v>290</v>
      </c>
    </row>
    <row r="3" spans="1:5" x14ac:dyDescent="0.2">
      <c r="A3" s="272" t="s">
        <v>284</v>
      </c>
      <c r="B3" s="272" t="s">
        <v>285</v>
      </c>
      <c r="C3" s="272" t="s">
        <v>286</v>
      </c>
    </row>
    <row r="4" spans="1:5" x14ac:dyDescent="0.2">
      <c r="A4" s="273">
        <v>1</v>
      </c>
      <c r="B4" s="274" t="s">
        <v>430</v>
      </c>
      <c r="C4" s="275">
        <f>'1. Coleta Domiciliar'!E28</f>
        <v>47296.997958246953</v>
      </c>
    </row>
    <row r="5" spans="1:5" x14ac:dyDescent="0.2">
      <c r="A5" s="273">
        <v>2</v>
      </c>
      <c r="B5" s="274" t="s">
        <v>332</v>
      </c>
      <c r="C5" s="275">
        <f>'2. Contentores'!F106</f>
        <v>6554.5671667673996</v>
      </c>
    </row>
    <row r="6" spans="1:5" x14ac:dyDescent="0.2">
      <c r="A6" s="273">
        <v>3</v>
      </c>
      <c r="B6" s="274" t="s">
        <v>338</v>
      </c>
      <c r="C6" s="275">
        <f>'3. Destino Final'!F37</f>
        <v>16071.430725</v>
      </c>
    </row>
    <row r="7" spans="1:5" x14ac:dyDescent="0.2">
      <c r="A7" s="272" t="s">
        <v>287</v>
      </c>
      <c r="B7" s="272"/>
      <c r="C7" s="283">
        <f>SUM(C4:C6)</f>
        <v>69922.995850014355</v>
      </c>
      <c r="E7" s="285"/>
    </row>
    <row r="8" spans="1:5" x14ac:dyDescent="0.2">
      <c r="A8" s="274"/>
      <c r="B8" s="274"/>
      <c r="C8" s="274"/>
    </row>
    <row r="13" spans="1:5" x14ac:dyDescent="0.2">
      <c r="C13" s="471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G17" sqref="G17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544" t="s">
        <v>292</v>
      </c>
      <c r="B1" s="545"/>
    </row>
    <row r="2" spans="1:2" s="98" customFormat="1" ht="19.5" customHeight="1" x14ac:dyDescent="0.2">
      <c r="A2" s="240" t="s">
        <v>208</v>
      </c>
      <c r="B2" s="241" t="s">
        <v>257</v>
      </c>
    </row>
    <row r="3" spans="1:2" ht="19.5" customHeight="1" x14ac:dyDescent="0.2">
      <c r="A3" s="150">
        <v>1</v>
      </c>
      <c r="B3" s="149">
        <v>33.629999999999995</v>
      </c>
    </row>
    <row r="4" spans="1:2" ht="19.5" customHeight="1" x14ac:dyDescent="0.2">
      <c r="A4" s="150">
        <v>2</v>
      </c>
      <c r="B4" s="149">
        <v>43.13</v>
      </c>
    </row>
    <row r="5" spans="1:2" ht="19.5" customHeight="1" x14ac:dyDescent="0.2">
      <c r="A5" s="150">
        <v>3</v>
      </c>
      <c r="B5" s="149">
        <v>48.68</v>
      </c>
    </row>
    <row r="6" spans="1:2" ht="19.5" customHeight="1" x14ac:dyDescent="0.2">
      <c r="A6" s="150">
        <v>4</v>
      </c>
      <c r="B6" s="149">
        <v>52.62</v>
      </c>
    </row>
    <row r="7" spans="1:2" ht="19.5" customHeight="1" x14ac:dyDescent="0.2">
      <c r="A7" s="150">
        <v>5</v>
      </c>
      <c r="B7" s="149">
        <v>55.679999999999993</v>
      </c>
    </row>
    <row r="8" spans="1:2" ht="19.5" customHeight="1" x14ac:dyDescent="0.2">
      <c r="A8" s="150">
        <v>6</v>
      </c>
      <c r="B8" s="149">
        <v>58.18</v>
      </c>
    </row>
    <row r="9" spans="1:2" ht="19.5" customHeight="1" x14ac:dyDescent="0.2">
      <c r="A9" s="150">
        <v>7</v>
      </c>
      <c r="B9" s="149">
        <v>60.29</v>
      </c>
    </row>
    <row r="10" spans="1:2" ht="19.5" customHeight="1" x14ac:dyDescent="0.2">
      <c r="A10" s="150">
        <v>8</v>
      </c>
      <c r="B10" s="149">
        <v>62.12</v>
      </c>
    </row>
    <row r="11" spans="1:2" ht="19.5" customHeight="1" x14ac:dyDescent="0.2">
      <c r="A11" s="150">
        <v>9</v>
      </c>
      <c r="B11" s="149">
        <v>63.73</v>
      </c>
    </row>
    <row r="12" spans="1:2" ht="19.5" customHeight="1" x14ac:dyDescent="0.2">
      <c r="A12" s="150">
        <v>10</v>
      </c>
      <c r="B12" s="149">
        <v>65.180000000000007</v>
      </c>
    </row>
    <row r="13" spans="1:2" ht="19.5" customHeight="1" x14ac:dyDescent="0.2">
      <c r="A13" s="150">
        <v>11</v>
      </c>
      <c r="B13" s="149">
        <v>66.47999999999999</v>
      </c>
    </row>
    <row r="14" spans="1:2" ht="19.5" customHeight="1" x14ac:dyDescent="0.2">
      <c r="A14" s="150">
        <v>12</v>
      </c>
      <c r="B14" s="149">
        <v>67.67</v>
      </c>
    </row>
    <row r="15" spans="1:2" ht="19.5" customHeight="1" x14ac:dyDescent="0.2">
      <c r="A15" s="150">
        <v>13</v>
      </c>
      <c r="B15" s="149">
        <v>68.77</v>
      </c>
    </row>
    <row r="16" spans="1:2" ht="19.5" customHeight="1" x14ac:dyDescent="0.2">
      <c r="A16" s="150">
        <v>14</v>
      </c>
      <c r="B16" s="149">
        <v>69.789999999999992</v>
      </c>
    </row>
    <row r="17" spans="1:2" ht="19.5" customHeight="1" thickBot="1" x14ac:dyDescent="0.25">
      <c r="A17" s="151">
        <v>15</v>
      </c>
      <c r="B17" s="152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10" workbookViewId="0">
      <selection activeCell="G17" sqref="G17"/>
    </sheetView>
  </sheetViews>
  <sheetFormatPr defaultColWidth="8.85546875" defaultRowHeight="15" x14ac:dyDescent="0.25"/>
  <cols>
    <col min="1" max="2" width="8.85546875" style="260"/>
    <col min="3" max="3" width="11.42578125" style="260" customWidth="1"/>
    <col min="4" max="4" width="27.28515625" style="260" customWidth="1"/>
    <col min="5" max="5" width="7.7109375" style="260" customWidth="1"/>
    <col min="6" max="6" width="7.28515625" style="260" customWidth="1"/>
    <col min="7" max="7" width="8.7109375" style="260" customWidth="1"/>
    <col min="8" max="8" width="11.42578125" style="260" customWidth="1"/>
    <col min="9" max="9" width="8.85546875" style="260"/>
    <col min="10" max="10" width="0" style="260" hidden="1" customWidth="1"/>
    <col min="11" max="11" width="5.140625" style="260" customWidth="1"/>
    <col min="12" max="12" width="9.140625" style="260" hidden="1" customWidth="1"/>
    <col min="13" max="13" width="4" style="260" hidden="1" customWidth="1"/>
    <col min="14" max="14" width="12" style="260" hidden="1" customWidth="1"/>
    <col min="15" max="15" width="16.140625" style="260" hidden="1" customWidth="1"/>
    <col min="16" max="16" width="7.28515625" style="260" hidden="1" customWidth="1"/>
    <col min="17" max="18" width="0" style="260" hidden="1" customWidth="1"/>
    <col min="19" max="19" width="29.42578125" style="260" hidden="1" customWidth="1"/>
    <col min="20" max="20" width="23.85546875" style="260" hidden="1" customWidth="1"/>
    <col min="21" max="24" width="0" style="260" hidden="1" customWidth="1"/>
    <col min="25" max="16384" width="8.85546875" style="260"/>
  </cols>
  <sheetData>
    <row r="1" spans="1:23" x14ac:dyDescent="0.25">
      <c r="A1" s="259" t="s">
        <v>296</v>
      </c>
      <c r="B1" s="259"/>
    </row>
    <row r="2" spans="1:23" x14ac:dyDescent="0.25">
      <c r="A2" s="259" t="s">
        <v>339</v>
      </c>
      <c r="B2" s="259"/>
    </row>
    <row r="3" spans="1:23" ht="30" x14ac:dyDescent="0.25">
      <c r="A3" s="261" t="s">
        <v>258</v>
      </c>
      <c r="B3" s="261" t="s">
        <v>422</v>
      </c>
      <c r="C3" s="261" t="s">
        <v>259</v>
      </c>
      <c r="D3" s="261" t="s">
        <v>275</v>
      </c>
      <c r="E3" s="261" t="s">
        <v>260</v>
      </c>
      <c r="F3" s="261" t="s">
        <v>261</v>
      </c>
      <c r="G3" s="485" t="s">
        <v>262</v>
      </c>
      <c r="H3" s="448" t="s">
        <v>425</v>
      </c>
      <c r="Q3" s="479" t="s">
        <v>450</v>
      </c>
      <c r="R3" s="479" t="s">
        <v>451</v>
      </c>
      <c r="S3" s="479" t="s">
        <v>457</v>
      </c>
      <c r="T3" s="478" t="s">
        <v>458</v>
      </c>
    </row>
    <row r="4" spans="1:23" x14ac:dyDescent="0.25">
      <c r="A4" s="262">
        <v>3</v>
      </c>
      <c r="B4" s="262" t="s">
        <v>423</v>
      </c>
      <c r="C4" s="261" t="s">
        <v>263</v>
      </c>
      <c r="D4" s="261" t="s">
        <v>424</v>
      </c>
      <c r="E4" s="263">
        <v>0.29166666666666669</v>
      </c>
      <c r="F4" s="263">
        <v>0.52083333333333337</v>
      </c>
      <c r="G4" s="263">
        <f>F4-E4</f>
        <v>0.22916666666666669</v>
      </c>
      <c r="H4" s="449">
        <f>A4*5.5*3</f>
        <v>49.5</v>
      </c>
      <c r="K4" s="447"/>
      <c r="L4" s="260">
        <v>16.5</v>
      </c>
      <c r="Q4" s="480">
        <v>0.25</v>
      </c>
      <c r="R4" s="480">
        <v>0.5</v>
      </c>
      <c r="S4" s="479" t="s">
        <v>452</v>
      </c>
      <c r="T4" s="478" t="s">
        <v>452</v>
      </c>
      <c r="U4" s="447">
        <f>R4-Q4</f>
        <v>0.25</v>
      </c>
      <c r="W4" s="260">
        <v>6</v>
      </c>
    </row>
    <row r="5" spans="1:23" x14ac:dyDescent="0.25">
      <c r="A5" s="262">
        <v>1</v>
      </c>
      <c r="B5" s="262" t="s">
        <v>423</v>
      </c>
      <c r="C5" s="261" t="s">
        <v>42</v>
      </c>
      <c r="D5" s="261" t="s">
        <v>424</v>
      </c>
      <c r="E5" s="263">
        <v>0.29166666666666669</v>
      </c>
      <c r="F5" s="263">
        <v>0.52083333333333337</v>
      </c>
      <c r="G5" s="263">
        <f t="shared" ref="G5:G6" si="0">F5-E5</f>
        <v>0.22916666666666669</v>
      </c>
      <c r="H5" s="449">
        <f>A5*5.5*3</f>
        <v>16.5</v>
      </c>
      <c r="N5" s="260">
        <v>16.5</v>
      </c>
      <c r="Q5" s="480">
        <v>0.25</v>
      </c>
      <c r="R5" s="480">
        <v>0.53125</v>
      </c>
      <c r="S5" s="479" t="s">
        <v>453</v>
      </c>
      <c r="T5" s="478" t="s">
        <v>459</v>
      </c>
      <c r="U5" s="447">
        <f t="shared" ref="U5:U8" si="1">R5-Q5</f>
        <v>0.28125</v>
      </c>
    </row>
    <row r="6" spans="1:23" x14ac:dyDescent="0.25">
      <c r="A6" s="262">
        <v>1</v>
      </c>
      <c r="B6" s="262" t="s">
        <v>423</v>
      </c>
      <c r="C6" s="261" t="s">
        <v>42</v>
      </c>
      <c r="D6" s="261" t="s">
        <v>295</v>
      </c>
      <c r="E6" s="263">
        <v>0.54166666666666663</v>
      </c>
      <c r="F6" s="263">
        <v>0.6875</v>
      </c>
      <c r="G6" s="263">
        <f t="shared" si="0"/>
        <v>0.14583333333333337</v>
      </c>
      <c r="H6" s="449">
        <f>A6*3.5*3</f>
        <v>10.5</v>
      </c>
      <c r="N6" s="260">
        <v>10.5</v>
      </c>
      <c r="Q6" s="480">
        <v>0.25</v>
      </c>
      <c r="R6" s="480">
        <v>0.5625</v>
      </c>
      <c r="S6" s="482" t="s">
        <v>461</v>
      </c>
      <c r="T6" s="478" t="s">
        <v>460</v>
      </c>
      <c r="U6" s="447">
        <f t="shared" si="1"/>
        <v>0.3125</v>
      </c>
    </row>
    <row r="7" spans="1:23" x14ac:dyDescent="0.25">
      <c r="A7" s="262">
        <v>3</v>
      </c>
      <c r="B7" s="262" t="s">
        <v>426</v>
      </c>
      <c r="C7" s="261" t="s">
        <v>263</v>
      </c>
      <c r="D7" s="261" t="s">
        <v>427</v>
      </c>
      <c r="E7" s="263">
        <v>0.29166666666666669</v>
      </c>
      <c r="F7" s="263">
        <v>0.52083333333333337</v>
      </c>
      <c r="G7" s="263">
        <f>F7-E7</f>
        <v>0.22916666666666669</v>
      </c>
      <c r="H7" s="449">
        <f>A7*5.5*1</f>
        <v>16.5</v>
      </c>
      <c r="Q7" s="480">
        <v>0.25</v>
      </c>
      <c r="R7" s="480">
        <v>0.45833333333333331</v>
      </c>
      <c r="S7" s="479" t="s">
        <v>454</v>
      </c>
      <c r="T7" s="478" t="s">
        <v>456</v>
      </c>
      <c r="U7" s="447">
        <f t="shared" si="1"/>
        <v>0.20833333333333331</v>
      </c>
      <c r="W7" s="260">
        <v>5</v>
      </c>
    </row>
    <row r="8" spans="1:23" x14ac:dyDescent="0.25">
      <c r="A8" s="262">
        <v>1</v>
      </c>
      <c r="B8" s="262" t="s">
        <v>426</v>
      </c>
      <c r="C8" s="261" t="s">
        <v>42</v>
      </c>
      <c r="D8" s="261" t="s">
        <v>427</v>
      </c>
      <c r="E8" s="263">
        <v>0.29166666666666669</v>
      </c>
      <c r="F8" s="263">
        <v>0.52083333333333337</v>
      </c>
      <c r="G8" s="263">
        <f t="shared" ref="G8:G9" si="2">F8-E8</f>
        <v>0.22916666666666669</v>
      </c>
      <c r="H8" s="449">
        <v>5.5</v>
      </c>
      <c r="L8" s="260">
        <v>5.5</v>
      </c>
      <c r="N8" s="260">
        <v>5.5</v>
      </c>
      <c r="Q8" s="480">
        <v>0.47916666666666669</v>
      </c>
      <c r="R8" s="481">
        <v>0.66666666666666663</v>
      </c>
      <c r="S8" s="479" t="s">
        <v>455</v>
      </c>
      <c r="T8" s="478" t="s">
        <v>455</v>
      </c>
      <c r="U8" s="447">
        <f t="shared" si="1"/>
        <v>0.18749999999999994</v>
      </c>
      <c r="W8" s="260">
        <v>4.5</v>
      </c>
    </row>
    <row r="9" spans="1:23" x14ac:dyDescent="0.25">
      <c r="A9" s="262">
        <v>1</v>
      </c>
      <c r="B9" s="262" t="s">
        <v>426</v>
      </c>
      <c r="C9" s="261" t="s">
        <v>42</v>
      </c>
      <c r="D9" s="261" t="s">
        <v>295</v>
      </c>
      <c r="E9" s="263">
        <v>0.54166666666666663</v>
      </c>
      <c r="F9" s="263">
        <v>0.6875</v>
      </c>
      <c r="G9" s="263">
        <f t="shared" si="2"/>
        <v>0.14583333333333337</v>
      </c>
      <c r="H9" s="449">
        <f>A9*3.5*1</f>
        <v>3.5</v>
      </c>
      <c r="N9" s="260">
        <v>3.5</v>
      </c>
    </row>
    <row r="10" spans="1:23" x14ac:dyDescent="0.25">
      <c r="A10" s="262">
        <v>3</v>
      </c>
      <c r="B10" s="262" t="s">
        <v>428</v>
      </c>
      <c r="C10" s="261" t="s">
        <v>263</v>
      </c>
      <c r="D10" s="261" t="s">
        <v>429</v>
      </c>
      <c r="E10" s="263">
        <v>0.29166666666666669</v>
      </c>
      <c r="F10" s="263">
        <v>0.54166666666666663</v>
      </c>
      <c r="G10" s="263">
        <f>F10-E10</f>
        <v>0.24999999999999994</v>
      </c>
      <c r="H10" s="449">
        <f>A10*6*0.5</f>
        <v>9</v>
      </c>
      <c r="L10" s="260">
        <v>3</v>
      </c>
      <c r="N10" s="260">
        <v>3</v>
      </c>
      <c r="W10" s="260">
        <f>SUM(W4:W9)</f>
        <v>15.5</v>
      </c>
    </row>
    <row r="11" spans="1:23" x14ac:dyDescent="0.25">
      <c r="A11" s="262">
        <v>1</v>
      </c>
      <c r="B11" s="262" t="s">
        <v>428</v>
      </c>
      <c r="C11" s="261" t="s">
        <v>42</v>
      </c>
      <c r="D11" s="261" t="s">
        <v>429</v>
      </c>
      <c r="E11" s="263">
        <v>0.29166666666666669</v>
      </c>
      <c r="F11" s="263">
        <v>0.54166666666666663</v>
      </c>
      <c r="G11" s="263">
        <f t="shared" ref="G11:G12" si="3">F11-E11</f>
        <v>0.24999999999999994</v>
      </c>
      <c r="H11" s="449">
        <f>A11*6*0.5</f>
        <v>3</v>
      </c>
      <c r="N11" s="260">
        <v>4.75</v>
      </c>
    </row>
    <row r="12" spans="1:23" ht="16.5" customHeight="1" x14ac:dyDescent="0.25">
      <c r="A12" s="262">
        <v>1</v>
      </c>
      <c r="B12" s="262" t="s">
        <v>428</v>
      </c>
      <c r="C12" s="261" t="s">
        <v>42</v>
      </c>
      <c r="D12" s="261" t="s">
        <v>295</v>
      </c>
      <c r="E12" s="263">
        <v>0.58333333333333337</v>
      </c>
      <c r="F12" s="263">
        <v>0.72916666666666663</v>
      </c>
      <c r="G12" s="263">
        <f t="shared" si="3"/>
        <v>0.14583333333333326</v>
      </c>
      <c r="H12" s="449">
        <f>A12*3.5*0.5</f>
        <v>1.75</v>
      </c>
      <c r="W12" s="260">
        <f>W10/3</f>
        <v>5.166666666666667</v>
      </c>
    </row>
    <row r="13" spans="1:23" ht="18" customHeight="1" x14ac:dyDescent="0.25">
      <c r="A13" s="450"/>
      <c r="B13" s="450"/>
      <c r="C13" s="259"/>
      <c r="D13" s="259"/>
      <c r="E13" s="451"/>
      <c r="F13" s="451"/>
      <c r="G13" s="451"/>
      <c r="H13" s="452"/>
      <c r="L13" s="260">
        <f>SUM(L4:L12)</f>
        <v>25</v>
      </c>
      <c r="N13" s="260">
        <f>SUM(N5:N12)</f>
        <v>43.75</v>
      </c>
    </row>
    <row r="14" spans="1:23" x14ac:dyDescent="0.25">
      <c r="A14" s="259" t="s">
        <v>274</v>
      </c>
      <c r="B14" s="259"/>
      <c r="L14" s="260">
        <f>L13/5</f>
        <v>5</v>
      </c>
      <c r="N14" s="260">
        <f>N13/44</f>
        <v>0.99431818181818177</v>
      </c>
    </row>
    <row r="15" spans="1:23" x14ac:dyDescent="0.25">
      <c r="A15" s="265" t="s">
        <v>264</v>
      </c>
      <c r="B15" s="266"/>
      <c r="C15" s="266"/>
      <c r="D15" s="266"/>
      <c r="E15" s="266"/>
      <c r="F15" s="266"/>
      <c r="G15" s="264">
        <v>5</v>
      </c>
      <c r="L15" s="484">
        <f>L13/L14</f>
        <v>5</v>
      </c>
    </row>
    <row r="16" spans="1:23" x14ac:dyDescent="0.25">
      <c r="A16" s="265" t="s">
        <v>265</v>
      </c>
      <c r="B16" s="266"/>
      <c r="C16" s="266"/>
      <c r="D16" s="266"/>
      <c r="E16" s="266"/>
      <c r="F16" s="266"/>
      <c r="G16" s="264">
        <v>5</v>
      </c>
      <c r="L16" s="260">
        <f>L13/44</f>
        <v>0.56818181818181823</v>
      </c>
      <c r="N16" s="260">
        <f>N13/5</f>
        <v>8.75</v>
      </c>
    </row>
    <row r="17" spans="1:13" x14ac:dyDescent="0.25">
      <c r="A17" s="265" t="s">
        <v>266</v>
      </c>
      <c r="B17" s="266"/>
      <c r="C17" s="266"/>
      <c r="D17" s="266"/>
      <c r="E17" s="266"/>
      <c r="F17" s="266"/>
      <c r="G17" s="264">
        <f>G15*G16</f>
        <v>25</v>
      </c>
    </row>
    <row r="18" spans="1:13" x14ac:dyDescent="0.25">
      <c r="A18" s="265" t="s">
        <v>267</v>
      </c>
      <c r="B18" s="266"/>
      <c r="C18" s="266"/>
      <c r="D18" s="266"/>
      <c r="E18" s="266"/>
      <c r="F18" s="266"/>
      <c r="G18" s="264">
        <v>6</v>
      </c>
      <c r="L18" s="260">
        <f>L13/44</f>
        <v>0.56818181818181823</v>
      </c>
      <c r="M18" s="260">
        <f>L13/5</f>
        <v>5</v>
      </c>
    </row>
    <row r="19" spans="1:13" x14ac:dyDescent="0.25">
      <c r="A19" s="265" t="s">
        <v>268</v>
      </c>
      <c r="B19" s="266"/>
      <c r="C19" s="266"/>
      <c r="D19" s="266"/>
      <c r="E19" s="266"/>
      <c r="F19" s="266"/>
      <c r="G19" s="264">
        <v>7</v>
      </c>
    </row>
    <row r="20" spans="1:13" x14ac:dyDescent="0.25">
      <c r="A20" s="265" t="s">
        <v>269</v>
      </c>
      <c r="B20" s="266"/>
      <c r="C20" s="266"/>
      <c r="D20" s="266"/>
      <c r="E20" s="266"/>
      <c r="F20" s="266"/>
      <c r="G20" s="284">
        <f>G17/G18</f>
        <v>4.166666666666667</v>
      </c>
    </row>
    <row r="21" spans="1:13" x14ac:dyDescent="0.25">
      <c r="A21" s="265" t="s">
        <v>270</v>
      </c>
      <c r="B21" s="266"/>
      <c r="C21" s="266"/>
      <c r="D21" s="266"/>
      <c r="E21" s="266"/>
      <c r="F21" s="266"/>
      <c r="G21" s="264">
        <v>30</v>
      </c>
    </row>
    <row r="22" spans="1:13" x14ac:dyDescent="0.25">
      <c r="A22" s="267" t="s">
        <v>271</v>
      </c>
      <c r="B22" s="268"/>
      <c r="C22" s="268"/>
      <c r="D22" s="268"/>
      <c r="E22" s="268"/>
      <c r="F22" s="268"/>
      <c r="G22" s="290">
        <f>G20*G21</f>
        <v>125.00000000000001</v>
      </c>
    </row>
    <row r="23" spans="1:13" x14ac:dyDescent="0.25">
      <c r="A23" s="288" t="s">
        <v>271</v>
      </c>
      <c r="B23" s="288"/>
      <c r="C23" s="261"/>
      <c r="D23" s="261"/>
      <c r="E23" s="261"/>
      <c r="F23" s="261"/>
      <c r="G23" s="290">
        <v>220</v>
      </c>
    </row>
    <row r="24" spans="1:13" x14ac:dyDescent="0.25">
      <c r="A24" s="288" t="s">
        <v>288</v>
      </c>
      <c r="B24" s="288"/>
      <c r="C24" s="261"/>
      <c r="D24" s="261"/>
      <c r="E24" s="261"/>
      <c r="F24" s="261"/>
      <c r="G24" s="289">
        <f>G22/G23</f>
        <v>0.56818181818181823</v>
      </c>
    </row>
    <row r="25" spans="1:13" x14ac:dyDescent="0.25">
      <c r="A25" s="259"/>
      <c r="B25" s="259"/>
      <c r="C25" s="259"/>
      <c r="D25" s="259"/>
      <c r="E25" s="259"/>
      <c r="F25" s="259"/>
      <c r="G25" s="287"/>
    </row>
    <row r="26" spans="1:13" x14ac:dyDescent="0.25">
      <c r="A26" s="259" t="s">
        <v>272</v>
      </c>
      <c r="B26" s="259"/>
    </row>
    <row r="27" spans="1:13" x14ac:dyDescent="0.25">
      <c r="A27" s="265" t="s">
        <v>273</v>
      </c>
      <c r="B27" s="266"/>
      <c r="C27" s="266"/>
      <c r="D27" s="266"/>
      <c r="E27" s="266"/>
      <c r="F27" s="266"/>
      <c r="G27" s="264">
        <v>8.8000000000000007</v>
      </c>
    </row>
    <row r="28" spans="1:13" x14ac:dyDescent="0.25">
      <c r="A28" s="265" t="s">
        <v>276</v>
      </c>
      <c r="B28" s="266"/>
      <c r="C28" s="266"/>
      <c r="D28" s="266"/>
      <c r="E28" s="266"/>
      <c r="F28" s="266"/>
      <c r="G28" s="264">
        <v>5</v>
      </c>
    </row>
    <row r="29" spans="1:13" x14ac:dyDescent="0.25">
      <c r="A29" s="265" t="s">
        <v>266</v>
      </c>
      <c r="B29" s="266"/>
      <c r="C29" s="266"/>
      <c r="D29" s="266"/>
      <c r="E29" s="266"/>
      <c r="F29" s="266"/>
      <c r="G29" s="264">
        <f>G27*G28</f>
        <v>44</v>
      </c>
    </row>
    <row r="30" spans="1:13" x14ac:dyDescent="0.25">
      <c r="A30" s="265" t="s">
        <v>267</v>
      </c>
      <c r="B30" s="266"/>
      <c r="C30" s="266"/>
      <c r="D30" s="266"/>
      <c r="E30" s="266"/>
      <c r="F30" s="266"/>
      <c r="G30" s="264">
        <v>6</v>
      </c>
    </row>
    <row r="31" spans="1:13" x14ac:dyDescent="0.25">
      <c r="A31" s="265" t="s">
        <v>268</v>
      </c>
      <c r="B31" s="266"/>
      <c r="C31" s="266"/>
      <c r="D31" s="266"/>
      <c r="E31" s="266"/>
      <c r="F31" s="266"/>
      <c r="G31" s="264">
        <v>7</v>
      </c>
    </row>
    <row r="32" spans="1:13" x14ac:dyDescent="0.25">
      <c r="A32" s="265" t="s">
        <v>269</v>
      </c>
      <c r="B32" s="266"/>
      <c r="C32" s="266"/>
      <c r="D32" s="266"/>
      <c r="E32" s="266"/>
      <c r="F32" s="266"/>
      <c r="G32" s="284">
        <f>G29/G30</f>
        <v>7.333333333333333</v>
      </c>
    </row>
    <row r="33" spans="1:7" x14ac:dyDescent="0.25">
      <c r="A33" s="265" t="s">
        <v>270</v>
      </c>
      <c r="B33" s="266"/>
      <c r="C33" s="266"/>
      <c r="D33" s="266"/>
      <c r="E33" s="266"/>
      <c r="F33" s="266"/>
      <c r="G33" s="264">
        <v>30</v>
      </c>
    </row>
    <row r="34" spans="1:7" x14ac:dyDescent="0.25">
      <c r="A34" s="267" t="s">
        <v>271</v>
      </c>
      <c r="B34" s="268"/>
      <c r="C34" s="268"/>
      <c r="D34" s="268"/>
      <c r="E34" s="268"/>
      <c r="F34" s="268"/>
      <c r="G34" s="292">
        <f>G32*G33</f>
        <v>220</v>
      </c>
    </row>
    <row r="35" spans="1:7" x14ac:dyDescent="0.25">
      <c r="A35" s="288" t="s">
        <v>271</v>
      </c>
      <c r="B35" s="288"/>
      <c r="C35" s="261"/>
      <c r="D35" s="261"/>
      <c r="E35" s="261"/>
      <c r="F35" s="261"/>
      <c r="G35" s="290">
        <v>220</v>
      </c>
    </row>
    <row r="36" spans="1:7" x14ac:dyDescent="0.25">
      <c r="A36" s="288" t="s">
        <v>288</v>
      </c>
      <c r="B36" s="288"/>
      <c r="C36" s="261"/>
      <c r="D36" s="261"/>
      <c r="E36" s="261"/>
      <c r="F36" s="261"/>
      <c r="G36" s="289">
        <f>G34/G35</f>
        <v>1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4"/>
  <sheetViews>
    <sheetView workbookViewId="0">
      <selection activeCell="G17" sqref="G17"/>
    </sheetView>
  </sheetViews>
  <sheetFormatPr defaultColWidth="8.85546875" defaultRowHeight="15" x14ac:dyDescent="0.25"/>
  <cols>
    <col min="1" max="1" width="18.42578125" style="399" customWidth="1"/>
    <col min="2" max="2" width="15.5703125" style="399" customWidth="1"/>
    <col min="3" max="3" width="16.28515625" style="399" customWidth="1"/>
    <col min="4" max="4" width="15.140625" style="399" customWidth="1"/>
    <col min="5" max="5" width="7.7109375" style="399" customWidth="1"/>
    <col min="6" max="6" width="29.5703125" style="399" customWidth="1"/>
    <col min="7" max="7" width="15.5703125" style="399" customWidth="1"/>
    <col min="8" max="8" width="12.7109375" style="399" customWidth="1"/>
    <col min="9" max="9" width="16.5703125" style="399" customWidth="1"/>
    <col min="10" max="10" width="28.28515625" style="399" customWidth="1"/>
    <col min="11" max="11" width="13.140625" style="399" customWidth="1"/>
    <col min="12" max="12" width="7.5703125" style="399" customWidth="1"/>
    <col min="13" max="13" width="12.28515625" style="399" customWidth="1"/>
    <col min="14" max="14" width="22.140625" style="399" customWidth="1"/>
    <col min="15" max="15" width="10.28515625" style="399" customWidth="1"/>
    <col min="16" max="16" width="41.7109375" style="399" customWidth="1"/>
    <col min="17" max="17" width="6.7109375" style="399" customWidth="1"/>
    <col min="18" max="18" width="6" style="399" customWidth="1"/>
    <col min="19" max="19" width="17" style="399" customWidth="1"/>
    <col min="20" max="20" width="6.42578125" style="399" customWidth="1"/>
    <col min="21" max="21" width="5.42578125" style="399" customWidth="1"/>
    <col min="22" max="16384" width="8.85546875" style="399"/>
  </cols>
  <sheetData>
    <row r="1" spans="1:21" ht="15" customHeight="1" thickBot="1" x14ac:dyDescent="0.3">
      <c r="A1" s="551" t="s">
        <v>345</v>
      </c>
      <c r="B1" s="552"/>
      <c r="C1" s="552"/>
      <c r="D1" s="552"/>
      <c r="E1" s="553"/>
      <c r="F1" s="477"/>
      <c r="G1" s="477"/>
      <c r="H1" s="551" t="s">
        <v>346</v>
      </c>
      <c r="I1" s="552"/>
      <c r="J1" s="552"/>
      <c r="K1" s="552"/>
      <c r="L1" s="553"/>
      <c r="M1" s="486"/>
      <c r="O1" s="554" t="s">
        <v>347</v>
      </c>
      <c r="P1" s="555"/>
      <c r="Q1" s="555"/>
      <c r="R1" s="555"/>
      <c r="S1" s="555"/>
      <c r="T1" s="556"/>
      <c r="U1" s="400"/>
    </row>
    <row r="2" spans="1:21" ht="15" customHeight="1" thickBot="1" x14ac:dyDescent="0.3">
      <c r="A2" s="557"/>
      <c r="B2" s="558"/>
      <c r="C2" s="558"/>
      <c r="D2" s="558"/>
      <c r="E2" s="559"/>
      <c r="F2" s="401"/>
      <c r="G2" s="483"/>
      <c r="H2" s="557"/>
      <c r="I2" s="558"/>
      <c r="J2" s="558"/>
      <c r="K2" s="558"/>
      <c r="L2" s="559"/>
      <c r="M2" s="487"/>
      <c r="O2" s="560"/>
      <c r="P2" s="561"/>
      <c r="Q2" s="561"/>
      <c r="R2" s="561"/>
      <c r="S2" s="561"/>
      <c r="T2" s="562"/>
      <c r="U2" s="402"/>
    </row>
    <row r="3" spans="1:21" ht="15" customHeight="1" thickBot="1" x14ac:dyDescent="0.3">
      <c r="A3" s="563" t="s">
        <v>404</v>
      </c>
      <c r="B3" s="564"/>
      <c r="C3" s="564"/>
      <c r="D3" s="564"/>
      <c r="E3" s="565"/>
      <c r="F3" s="477"/>
      <c r="G3" s="477"/>
      <c r="H3" s="551" t="s">
        <v>348</v>
      </c>
      <c r="I3" s="552"/>
      <c r="J3" s="552"/>
      <c r="K3" s="552"/>
      <c r="L3" s="553"/>
      <c r="M3" s="486"/>
      <c r="O3" s="566" t="s">
        <v>349</v>
      </c>
      <c r="P3" s="567"/>
      <c r="Q3" s="567"/>
      <c r="R3" s="567"/>
      <c r="S3" s="567"/>
      <c r="T3" s="568"/>
      <c r="U3" s="403"/>
    </row>
    <row r="4" spans="1:21" ht="15" customHeight="1" x14ac:dyDescent="0.25">
      <c r="A4" s="569" t="s">
        <v>401</v>
      </c>
      <c r="B4" s="570"/>
      <c r="C4" s="570"/>
      <c r="D4" s="570"/>
      <c r="E4" s="571"/>
      <c r="F4" s="401"/>
      <c r="G4" s="483"/>
      <c r="H4" s="572" t="s">
        <v>412</v>
      </c>
      <c r="I4" s="573"/>
      <c r="J4" s="573"/>
      <c r="K4" s="573"/>
      <c r="L4" s="574"/>
      <c r="M4" s="486"/>
      <c r="O4" s="575" t="s">
        <v>350</v>
      </c>
      <c r="P4" s="577" t="s">
        <v>351</v>
      </c>
      <c r="Q4" s="577" t="s">
        <v>352</v>
      </c>
      <c r="R4" s="577"/>
      <c r="S4" s="577" t="s">
        <v>353</v>
      </c>
      <c r="T4" s="579" t="s">
        <v>354</v>
      </c>
      <c r="U4" s="404"/>
    </row>
    <row r="5" spans="1:21" s="401" customFormat="1" x14ac:dyDescent="0.25">
      <c r="A5" s="405" t="s">
        <v>355</v>
      </c>
      <c r="B5" s="406" t="s">
        <v>356</v>
      </c>
      <c r="C5" s="406" t="s">
        <v>357</v>
      </c>
      <c r="D5" s="406" t="s">
        <v>358</v>
      </c>
      <c r="E5" s="407" t="s">
        <v>359</v>
      </c>
      <c r="G5" s="483"/>
      <c r="H5" s="549" t="s">
        <v>407</v>
      </c>
      <c r="I5" s="547"/>
      <c r="J5" s="548"/>
      <c r="K5" s="408">
        <v>2.1</v>
      </c>
      <c r="L5" s="409" t="s">
        <v>17</v>
      </c>
      <c r="M5" s="488"/>
      <c r="O5" s="576"/>
      <c r="P5" s="578"/>
      <c r="Q5" s="578"/>
      <c r="R5" s="578"/>
      <c r="S5" s="578"/>
      <c r="T5" s="580"/>
      <c r="U5" s="404"/>
    </row>
    <row r="6" spans="1:21" s="401" customFormat="1" x14ac:dyDescent="0.25">
      <c r="A6" s="405" t="s">
        <v>360</v>
      </c>
      <c r="B6" s="406"/>
      <c r="C6" s="410" t="s">
        <v>361</v>
      </c>
      <c r="D6" s="411">
        <v>4671.7</v>
      </c>
      <c r="E6" s="409" t="s">
        <v>362</v>
      </c>
      <c r="F6" s="399"/>
      <c r="G6" s="399"/>
      <c r="H6" s="546" t="s">
        <v>363</v>
      </c>
      <c r="I6" s="547"/>
      <c r="J6" s="548"/>
      <c r="K6" s="412">
        <f>D11</f>
        <v>27.822590000000002</v>
      </c>
      <c r="L6" s="409" t="s">
        <v>17</v>
      </c>
      <c r="M6" s="488"/>
      <c r="O6" s="413" t="s">
        <v>364</v>
      </c>
      <c r="P6" s="442" t="s">
        <v>416</v>
      </c>
      <c r="Q6" s="414">
        <v>1</v>
      </c>
      <c r="R6" s="415" t="s">
        <v>365</v>
      </c>
      <c r="S6" s="412">
        <f>K9</f>
        <v>167.12259</v>
      </c>
      <c r="T6" s="416" t="s">
        <v>17</v>
      </c>
      <c r="U6" s="417"/>
    </row>
    <row r="7" spans="1:21" x14ac:dyDescent="0.25">
      <c r="A7" s="405" t="s">
        <v>366</v>
      </c>
      <c r="B7" s="406"/>
      <c r="C7" s="410" t="s">
        <v>367</v>
      </c>
      <c r="D7" s="411">
        <v>3698.78</v>
      </c>
      <c r="E7" s="409" t="s">
        <v>362</v>
      </c>
      <c r="H7" s="546" t="s">
        <v>368</v>
      </c>
      <c r="I7" s="547"/>
      <c r="J7" s="548"/>
      <c r="K7" s="418">
        <v>69</v>
      </c>
      <c r="L7" s="409" t="s">
        <v>17</v>
      </c>
      <c r="M7" s="488"/>
      <c r="O7" s="546"/>
      <c r="P7" s="547"/>
      <c r="Q7" s="547"/>
      <c r="R7" s="547"/>
      <c r="S7" s="547"/>
      <c r="T7" s="550"/>
      <c r="U7" s="417"/>
    </row>
    <row r="8" spans="1:21" ht="15" customHeight="1" x14ac:dyDescent="0.25">
      <c r="A8" s="405" t="s">
        <v>369</v>
      </c>
      <c r="B8" s="406"/>
      <c r="C8" s="410" t="s">
        <v>370</v>
      </c>
      <c r="D8" s="411">
        <v>5195.6899999999996</v>
      </c>
      <c r="E8" s="409" t="s">
        <v>362</v>
      </c>
      <c r="H8" s="549" t="s">
        <v>408</v>
      </c>
      <c r="I8" s="547"/>
      <c r="J8" s="548"/>
      <c r="K8" s="418">
        <v>68.2</v>
      </c>
      <c r="L8" s="409" t="s">
        <v>17</v>
      </c>
      <c r="M8" s="488"/>
      <c r="O8" s="443" t="s">
        <v>382</v>
      </c>
      <c r="P8" s="442" t="s">
        <v>417</v>
      </c>
      <c r="Q8" s="414">
        <v>1</v>
      </c>
      <c r="R8" s="415" t="s">
        <v>365</v>
      </c>
      <c r="S8" s="412">
        <f>K24</f>
        <v>173.47631000000001</v>
      </c>
      <c r="T8" s="416" t="s">
        <v>17</v>
      </c>
      <c r="U8" s="401"/>
    </row>
    <row r="9" spans="1:21" x14ac:dyDescent="0.25">
      <c r="A9" s="405" t="s">
        <v>372</v>
      </c>
      <c r="B9" s="406"/>
      <c r="C9" s="410" t="s">
        <v>373</v>
      </c>
      <c r="D9" s="411">
        <v>7373.56</v>
      </c>
      <c r="E9" s="409" t="s">
        <v>362</v>
      </c>
      <c r="H9" s="593" t="s">
        <v>374</v>
      </c>
      <c r="I9" s="594"/>
      <c r="J9" s="595"/>
      <c r="K9" s="419">
        <f>SUM(K5:K8)</f>
        <v>167.12259</v>
      </c>
      <c r="L9" s="420" t="s">
        <v>17</v>
      </c>
      <c r="M9" s="489"/>
      <c r="O9" s="546"/>
      <c r="P9" s="547"/>
      <c r="Q9" s="547"/>
      <c r="R9" s="547"/>
      <c r="S9" s="547"/>
      <c r="T9" s="550"/>
      <c r="U9" s="417"/>
    </row>
    <row r="10" spans="1:21" ht="15.75" thickBot="1" x14ac:dyDescent="0.3">
      <c r="A10" s="405" t="s">
        <v>376</v>
      </c>
      <c r="B10" s="406"/>
      <c r="C10" s="410" t="s">
        <v>377</v>
      </c>
      <c r="D10" s="411">
        <v>6882.86</v>
      </c>
      <c r="E10" s="409" t="s">
        <v>362</v>
      </c>
      <c r="H10" s="584"/>
      <c r="I10" s="585"/>
      <c r="J10" s="585"/>
      <c r="K10" s="585"/>
      <c r="L10" s="586"/>
      <c r="M10" s="487"/>
      <c r="O10" s="443" t="s">
        <v>384</v>
      </c>
      <c r="P10" s="442" t="s">
        <v>418</v>
      </c>
      <c r="Q10" s="414">
        <v>1</v>
      </c>
      <c r="R10" s="415" t="s">
        <v>365</v>
      </c>
      <c r="S10" s="412">
        <f>K31</f>
        <v>176.82064000000003</v>
      </c>
      <c r="T10" s="416" t="s">
        <v>17</v>
      </c>
      <c r="U10" s="417"/>
    </row>
    <row r="11" spans="1:21" ht="15.75" thickBot="1" x14ac:dyDescent="0.3">
      <c r="A11" s="581" t="s">
        <v>385</v>
      </c>
      <c r="B11" s="582"/>
      <c r="C11" s="582"/>
      <c r="D11" s="422">
        <f>SUM(D6:D10)/1000</f>
        <v>27.822590000000002</v>
      </c>
      <c r="E11" s="423" t="s">
        <v>17</v>
      </c>
      <c r="F11" s="440"/>
      <c r="G11" s="440"/>
      <c r="H11" s="572" t="s">
        <v>415</v>
      </c>
      <c r="I11" s="573"/>
      <c r="J11" s="573"/>
      <c r="K11" s="573"/>
      <c r="L11" s="574"/>
      <c r="M11" s="486"/>
      <c r="O11" s="596"/>
      <c r="P11" s="597"/>
      <c r="Q11" s="597"/>
      <c r="R11" s="597"/>
      <c r="S11" s="597"/>
      <c r="T11" s="598"/>
      <c r="U11" s="401"/>
    </row>
    <row r="12" spans="1:21" ht="15" customHeight="1" x14ac:dyDescent="0.25">
      <c r="A12" s="587"/>
      <c r="B12" s="588"/>
      <c r="C12" s="588"/>
      <c r="D12" s="588"/>
      <c r="E12" s="589"/>
      <c r="F12" s="401"/>
      <c r="G12" s="483"/>
      <c r="H12" s="549" t="s">
        <v>409</v>
      </c>
      <c r="I12" s="547"/>
      <c r="J12" s="548"/>
      <c r="K12" s="408">
        <v>3.3</v>
      </c>
      <c r="L12" s="409" t="s">
        <v>17</v>
      </c>
      <c r="M12" s="488"/>
      <c r="O12" s="583" t="s">
        <v>386</v>
      </c>
      <c r="P12" s="578"/>
      <c r="Q12" s="578"/>
      <c r="R12" s="578"/>
      <c r="S12" s="424">
        <f>(S6*Q6)+(Q8*S8)+(Q10*S10)</f>
        <v>517.4195400000001</v>
      </c>
      <c r="T12" s="425" t="s">
        <v>387</v>
      </c>
      <c r="U12" s="417"/>
    </row>
    <row r="13" spans="1:21" ht="15.75" thickBot="1" x14ac:dyDescent="0.3">
      <c r="A13" s="590"/>
      <c r="B13" s="591"/>
      <c r="C13" s="591"/>
      <c r="D13" s="591"/>
      <c r="E13" s="592"/>
      <c r="F13" s="401"/>
      <c r="G13" s="483"/>
      <c r="H13" s="546" t="s">
        <v>383</v>
      </c>
      <c r="I13" s="547"/>
      <c r="J13" s="548"/>
      <c r="K13" s="412">
        <f>D24</f>
        <v>51.633249999999997</v>
      </c>
      <c r="L13" s="409" t="s">
        <v>17</v>
      </c>
      <c r="M13" s="488"/>
      <c r="O13" s="599" t="s">
        <v>389</v>
      </c>
      <c r="P13" s="600"/>
      <c r="Q13" s="600"/>
      <c r="R13" s="600"/>
      <c r="S13" s="427">
        <f>((S12/7)*30)</f>
        <v>2217.5123142857146</v>
      </c>
      <c r="T13" s="428" t="s">
        <v>387</v>
      </c>
      <c r="U13" s="417"/>
    </row>
    <row r="14" spans="1:21" ht="15.75" thickBot="1" x14ac:dyDescent="0.3">
      <c r="A14" s="563" t="s">
        <v>403</v>
      </c>
      <c r="B14" s="564"/>
      <c r="C14" s="564"/>
      <c r="D14" s="564"/>
      <c r="E14" s="565"/>
      <c r="F14" s="477"/>
      <c r="G14" s="477"/>
      <c r="H14" s="549" t="s">
        <v>410</v>
      </c>
      <c r="I14" s="547"/>
      <c r="J14" s="548"/>
      <c r="K14" s="418">
        <v>57.7</v>
      </c>
      <c r="L14" s="409" t="s">
        <v>17</v>
      </c>
      <c r="M14" s="488"/>
      <c r="O14" s="601"/>
      <c r="P14" s="602"/>
      <c r="Q14" s="602"/>
      <c r="R14" s="602"/>
      <c r="S14" s="602"/>
      <c r="T14" s="603"/>
      <c r="U14" s="417"/>
    </row>
    <row r="15" spans="1:21" ht="15.75" thickBot="1" x14ac:dyDescent="0.3">
      <c r="A15" s="569" t="s">
        <v>401</v>
      </c>
      <c r="B15" s="570"/>
      <c r="C15" s="570"/>
      <c r="D15" s="570"/>
      <c r="E15" s="571"/>
      <c r="F15" s="401"/>
      <c r="G15" s="483"/>
      <c r="H15" s="549" t="s">
        <v>411</v>
      </c>
      <c r="I15" s="547"/>
      <c r="J15" s="548"/>
      <c r="K15" s="418">
        <v>37</v>
      </c>
      <c r="L15" s="409" t="s">
        <v>17</v>
      </c>
      <c r="M15" s="488"/>
      <c r="O15" s="604"/>
      <c r="P15" s="605"/>
      <c r="Q15" s="605"/>
      <c r="R15" s="605"/>
      <c r="S15" s="605"/>
      <c r="T15" s="606"/>
      <c r="U15" s="417"/>
    </row>
    <row r="16" spans="1:21" ht="15.75" customHeight="1" thickBot="1" x14ac:dyDescent="0.3">
      <c r="A16" s="405" t="s">
        <v>355</v>
      </c>
      <c r="B16" s="406" t="s">
        <v>356</v>
      </c>
      <c r="C16" s="406" t="s">
        <v>357</v>
      </c>
      <c r="D16" s="406" t="s">
        <v>358</v>
      </c>
      <c r="E16" s="407" t="s">
        <v>359</v>
      </c>
      <c r="F16" s="401"/>
      <c r="G16" s="483"/>
      <c r="H16" s="549" t="s">
        <v>408</v>
      </c>
      <c r="I16" s="547"/>
      <c r="J16" s="548"/>
      <c r="K16" s="418">
        <v>68.2</v>
      </c>
      <c r="L16" s="409" t="s">
        <v>17</v>
      </c>
      <c r="M16" s="488"/>
      <c r="O16" s="566" t="s">
        <v>392</v>
      </c>
      <c r="P16" s="567"/>
      <c r="Q16" s="567"/>
      <c r="R16" s="567"/>
      <c r="S16" s="567"/>
      <c r="T16" s="568"/>
      <c r="U16" s="417"/>
    </row>
    <row r="17" spans="1:21" ht="15" customHeight="1" x14ac:dyDescent="0.25">
      <c r="A17" s="405" t="s">
        <v>360</v>
      </c>
      <c r="B17" s="406"/>
      <c r="C17" s="410" t="s">
        <v>361</v>
      </c>
      <c r="D17" s="411">
        <v>6946.38</v>
      </c>
      <c r="E17" s="409" t="s">
        <v>362</v>
      </c>
      <c r="H17" s="593" t="s">
        <v>374</v>
      </c>
      <c r="I17" s="594"/>
      <c r="J17" s="595"/>
      <c r="K17" s="419">
        <f>SUM(K12:K16)</f>
        <v>217.83325000000002</v>
      </c>
      <c r="L17" s="420" t="s">
        <v>17</v>
      </c>
      <c r="M17" s="489"/>
      <c r="O17" s="575" t="s">
        <v>350</v>
      </c>
      <c r="P17" s="577" t="s">
        <v>351</v>
      </c>
      <c r="Q17" s="577" t="s">
        <v>352</v>
      </c>
      <c r="R17" s="577"/>
      <c r="S17" s="577" t="s">
        <v>353</v>
      </c>
      <c r="T17" s="579" t="s">
        <v>354</v>
      </c>
      <c r="U17" s="421"/>
    </row>
    <row r="18" spans="1:21" ht="15" customHeight="1" thickBot="1" x14ac:dyDescent="0.3">
      <c r="A18" s="405" t="s">
        <v>366</v>
      </c>
      <c r="B18" s="406"/>
      <c r="C18" s="410" t="s">
        <v>367</v>
      </c>
      <c r="D18" s="411">
        <v>5581.31</v>
      </c>
      <c r="E18" s="409" t="s">
        <v>362</v>
      </c>
      <c r="H18" s="584"/>
      <c r="I18" s="585"/>
      <c r="J18" s="585"/>
      <c r="K18" s="585"/>
      <c r="L18" s="586"/>
      <c r="M18" s="487"/>
      <c r="O18" s="576"/>
      <c r="P18" s="578"/>
      <c r="Q18" s="578"/>
      <c r="R18" s="578"/>
      <c r="S18" s="578"/>
      <c r="T18" s="580"/>
      <c r="U18" s="426"/>
    </row>
    <row r="19" spans="1:21" ht="15" customHeight="1" x14ac:dyDescent="0.25">
      <c r="A19" s="405" t="s">
        <v>369</v>
      </c>
      <c r="B19" s="406"/>
      <c r="C19" s="410" t="s">
        <v>370</v>
      </c>
      <c r="D19" s="411">
        <v>5919.99</v>
      </c>
      <c r="E19" s="409" t="s">
        <v>362</v>
      </c>
      <c r="H19" s="572" t="s">
        <v>413</v>
      </c>
      <c r="I19" s="573"/>
      <c r="J19" s="573"/>
      <c r="K19" s="573"/>
      <c r="L19" s="574"/>
      <c r="M19" s="486"/>
      <c r="O19" s="443" t="s">
        <v>375</v>
      </c>
      <c r="P19" s="442" t="s">
        <v>419</v>
      </c>
      <c r="Q19" s="414">
        <v>1</v>
      </c>
      <c r="R19" s="415" t="s">
        <v>365</v>
      </c>
      <c r="S19" s="412">
        <f>K17</f>
        <v>217.83325000000002</v>
      </c>
      <c r="T19" s="416" t="s">
        <v>17</v>
      </c>
      <c r="U19" s="426"/>
    </row>
    <row r="20" spans="1:21" ht="15" customHeight="1" x14ac:dyDescent="0.25">
      <c r="A20" s="405" t="s">
        <v>372</v>
      </c>
      <c r="B20" s="406"/>
      <c r="C20" s="410" t="s">
        <v>373</v>
      </c>
      <c r="D20" s="411">
        <v>9964.74</v>
      </c>
      <c r="E20" s="409" t="s">
        <v>362</v>
      </c>
      <c r="H20" s="546" t="s">
        <v>388</v>
      </c>
      <c r="I20" s="547"/>
      <c r="J20" s="548"/>
      <c r="K20" s="408">
        <v>2.1</v>
      </c>
      <c r="L20" s="409" t="s">
        <v>17</v>
      </c>
      <c r="M20" s="488"/>
      <c r="O20" s="546"/>
      <c r="P20" s="547"/>
      <c r="Q20" s="547"/>
      <c r="R20" s="547"/>
      <c r="S20" s="547"/>
      <c r="T20" s="550"/>
      <c r="U20" s="429"/>
    </row>
    <row r="21" spans="1:21" x14ac:dyDescent="0.25">
      <c r="A21" s="405" t="s">
        <v>376</v>
      </c>
      <c r="B21" s="406"/>
      <c r="C21" s="410" t="s">
        <v>377</v>
      </c>
      <c r="D21" s="411">
        <v>8229.65</v>
      </c>
      <c r="E21" s="409" t="s">
        <v>362</v>
      </c>
      <c r="H21" s="546" t="s">
        <v>390</v>
      </c>
      <c r="I21" s="547"/>
      <c r="J21" s="548"/>
      <c r="K21" s="412">
        <f>D37</f>
        <v>48.776309999999995</v>
      </c>
      <c r="L21" s="409" t="s">
        <v>17</v>
      </c>
      <c r="M21" s="488"/>
      <c r="O21" s="443" t="s">
        <v>397</v>
      </c>
      <c r="P21" s="442" t="s">
        <v>420</v>
      </c>
      <c r="Q21" s="446">
        <v>0.5</v>
      </c>
      <c r="R21" s="415" t="s">
        <v>365</v>
      </c>
      <c r="S21" s="412">
        <f>K40</f>
        <v>283.92712</v>
      </c>
      <c r="T21" s="416" t="s">
        <v>17</v>
      </c>
      <c r="U21" s="429"/>
    </row>
    <row r="22" spans="1:21" x14ac:dyDescent="0.25">
      <c r="A22" s="405" t="s">
        <v>378</v>
      </c>
      <c r="B22" s="406"/>
      <c r="C22" s="410" t="s">
        <v>379</v>
      </c>
      <c r="D22" s="411">
        <v>5525.59</v>
      </c>
      <c r="E22" s="409" t="s">
        <v>362</v>
      </c>
      <c r="H22" s="546" t="s">
        <v>391</v>
      </c>
      <c r="I22" s="547"/>
      <c r="J22" s="548"/>
      <c r="K22" s="418">
        <v>54.4</v>
      </c>
      <c r="L22" s="409" t="s">
        <v>17</v>
      </c>
      <c r="M22" s="488"/>
      <c r="O22" s="607"/>
      <c r="P22" s="608"/>
      <c r="Q22" s="608"/>
      <c r="R22" s="608"/>
      <c r="S22" s="608"/>
      <c r="T22" s="609"/>
      <c r="U22" s="403"/>
    </row>
    <row r="23" spans="1:21" x14ac:dyDescent="0.25">
      <c r="A23" s="405" t="s">
        <v>380</v>
      </c>
      <c r="B23" s="406"/>
      <c r="C23" s="410" t="s">
        <v>381</v>
      </c>
      <c r="D23" s="411">
        <v>9465.59</v>
      </c>
      <c r="E23" s="409" t="s">
        <v>362</v>
      </c>
      <c r="H23" s="546" t="s">
        <v>371</v>
      </c>
      <c r="I23" s="547"/>
      <c r="J23" s="548"/>
      <c r="K23" s="418">
        <v>68.2</v>
      </c>
      <c r="L23" s="409" t="s">
        <v>17</v>
      </c>
      <c r="M23" s="488"/>
      <c r="O23" s="583" t="s">
        <v>386</v>
      </c>
      <c r="P23" s="578"/>
      <c r="Q23" s="578"/>
      <c r="R23" s="578"/>
      <c r="S23" s="424">
        <f>(Q19*S19)+(Q21*S21)</f>
        <v>359.79681000000005</v>
      </c>
      <c r="T23" s="425" t="s">
        <v>387</v>
      </c>
      <c r="U23" s="404"/>
    </row>
    <row r="24" spans="1:21" ht="15.75" thickBot="1" x14ac:dyDescent="0.3">
      <c r="A24" s="614" t="s">
        <v>385</v>
      </c>
      <c r="B24" s="615"/>
      <c r="C24" s="615"/>
      <c r="D24" s="431">
        <f>SUM(D17:D23)/1000</f>
        <v>51.633249999999997</v>
      </c>
      <c r="E24" s="432" t="s">
        <v>17</v>
      </c>
      <c r="F24" s="440"/>
      <c r="G24" s="440"/>
      <c r="H24" s="593" t="s">
        <v>374</v>
      </c>
      <c r="I24" s="594"/>
      <c r="J24" s="595"/>
      <c r="K24" s="419">
        <f>SUM(K20:K23)</f>
        <v>173.47631000000001</v>
      </c>
      <c r="L24" s="420" t="s">
        <v>17</v>
      </c>
      <c r="M24" s="489"/>
      <c r="O24" s="599" t="s">
        <v>389</v>
      </c>
      <c r="P24" s="600"/>
      <c r="Q24" s="600"/>
      <c r="R24" s="600"/>
      <c r="S24" s="427">
        <f>((S23/7)*30)</f>
        <v>1541.9863285714287</v>
      </c>
      <c r="T24" s="428" t="s">
        <v>387</v>
      </c>
      <c r="U24" s="404"/>
    </row>
    <row r="25" spans="1:21" ht="15.75" thickBot="1" x14ac:dyDescent="0.3">
      <c r="A25" s="587"/>
      <c r="B25" s="588"/>
      <c r="C25" s="588"/>
      <c r="D25" s="588"/>
      <c r="E25" s="589"/>
      <c r="F25" s="401"/>
      <c r="G25" s="483"/>
      <c r="H25" s="584"/>
      <c r="I25" s="585"/>
      <c r="J25" s="585"/>
      <c r="K25" s="585"/>
      <c r="L25" s="586"/>
      <c r="M25" s="487"/>
      <c r="U25" s="417"/>
    </row>
    <row r="26" spans="1:21" ht="15.75" thickBot="1" x14ac:dyDescent="0.3">
      <c r="A26" s="590"/>
      <c r="B26" s="591"/>
      <c r="C26" s="591"/>
      <c r="D26" s="591"/>
      <c r="E26" s="592"/>
      <c r="F26" s="401"/>
      <c r="G26" s="483"/>
      <c r="H26" s="572" t="s">
        <v>414</v>
      </c>
      <c r="I26" s="573"/>
      <c r="J26" s="573"/>
      <c r="K26" s="573"/>
      <c r="L26" s="574"/>
      <c r="M26" s="486"/>
      <c r="U26" s="417"/>
    </row>
    <row r="27" spans="1:21" ht="15.75" thickBot="1" x14ac:dyDescent="0.3">
      <c r="A27" s="563" t="s">
        <v>405</v>
      </c>
      <c r="B27" s="564"/>
      <c r="C27" s="564"/>
      <c r="D27" s="564"/>
      <c r="E27" s="565"/>
      <c r="F27" s="477"/>
      <c r="G27" s="477"/>
      <c r="H27" s="546" t="s">
        <v>393</v>
      </c>
      <c r="I27" s="547"/>
      <c r="J27" s="548"/>
      <c r="K27" s="408">
        <v>3.3</v>
      </c>
      <c r="L27" s="409" t="s">
        <v>17</v>
      </c>
      <c r="M27" s="488"/>
      <c r="S27" s="445"/>
      <c r="U27" s="401"/>
    </row>
    <row r="28" spans="1:21" x14ac:dyDescent="0.25">
      <c r="A28" s="569" t="s">
        <v>401</v>
      </c>
      <c r="B28" s="570"/>
      <c r="C28" s="570"/>
      <c r="D28" s="570"/>
      <c r="E28" s="571"/>
      <c r="F28" s="401"/>
      <c r="G28" s="483"/>
      <c r="H28" s="546" t="s">
        <v>394</v>
      </c>
      <c r="I28" s="547"/>
      <c r="J28" s="548"/>
      <c r="K28" s="412">
        <f>D50</f>
        <v>39.620640000000002</v>
      </c>
      <c r="L28" s="409" t="s">
        <v>17</v>
      </c>
      <c r="M28" s="488"/>
      <c r="S28" s="417"/>
      <c r="U28" s="417"/>
    </row>
    <row r="29" spans="1:21" x14ac:dyDescent="0.25">
      <c r="A29" s="405" t="s">
        <v>355</v>
      </c>
      <c r="B29" s="406" t="s">
        <v>356</v>
      </c>
      <c r="C29" s="406" t="s">
        <v>357</v>
      </c>
      <c r="D29" s="406" t="s">
        <v>358</v>
      </c>
      <c r="E29" s="407" t="s">
        <v>359</v>
      </c>
      <c r="F29" s="401"/>
      <c r="G29" s="483"/>
      <c r="H29" s="546" t="s">
        <v>395</v>
      </c>
      <c r="I29" s="547"/>
      <c r="J29" s="548"/>
      <c r="K29" s="418">
        <v>65.7</v>
      </c>
      <c r="L29" s="409" t="s">
        <v>17</v>
      </c>
      <c r="M29" s="488"/>
      <c r="U29" s="417"/>
    </row>
    <row r="30" spans="1:21" x14ac:dyDescent="0.25">
      <c r="A30" s="405" t="s">
        <v>360</v>
      </c>
      <c r="B30" s="406"/>
      <c r="C30" s="410" t="s">
        <v>361</v>
      </c>
      <c r="D30" s="411">
        <v>5000.16</v>
      </c>
      <c r="E30" s="409" t="s">
        <v>362</v>
      </c>
      <c r="H30" s="546" t="s">
        <v>371</v>
      </c>
      <c r="I30" s="547"/>
      <c r="J30" s="548"/>
      <c r="K30" s="418">
        <v>68.2</v>
      </c>
      <c r="L30" s="409" t="s">
        <v>17</v>
      </c>
      <c r="M30" s="488"/>
      <c r="P30" s="444"/>
      <c r="U30" s="401"/>
    </row>
    <row r="31" spans="1:21" x14ac:dyDescent="0.25">
      <c r="A31" s="405" t="s">
        <v>366</v>
      </c>
      <c r="B31" s="406"/>
      <c r="C31" s="410" t="s">
        <v>367</v>
      </c>
      <c r="D31" s="411">
        <v>2088.4299999999998</v>
      </c>
      <c r="E31" s="409" t="s">
        <v>362</v>
      </c>
      <c r="H31" s="593" t="s">
        <v>374</v>
      </c>
      <c r="I31" s="594"/>
      <c r="J31" s="595"/>
      <c r="K31" s="419">
        <f>SUM(K27:K30)</f>
        <v>176.82064000000003</v>
      </c>
      <c r="L31" s="420" t="s">
        <v>17</v>
      </c>
      <c r="M31" s="489"/>
      <c r="U31" s="417"/>
    </row>
    <row r="32" spans="1:21" ht="15.75" thickBot="1" x14ac:dyDescent="0.3">
      <c r="A32" s="405" t="s">
        <v>369</v>
      </c>
      <c r="B32" s="406"/>
      <c r="C32" s="410" t="s">
        <v>370</v>
      </c>
      <c r="D32" s="411">
        <v>9085.93</v>
      </c>
      <c r="E32" s="409" t="s">
        <v>362</v>
      </c>
      <c r="H32" s="584"/>
      <c r="I32" s="585"/>
      <c r="J32" s="585"/>
      <c r="K32" s="585"/>
      <c r="L32" s="586"/>
      <c r="M32" s="487"/>
      <c r="U32" s="417"/>
    </row>
    <row r="33" spans="1:21" ht="15" customHeight="1" thickBot="1" x14ac:dyDescent="0.3">
      <c r="A33" s="405" t="s">
        <v>372</v>
      </c>
      <c r="B33" s="406"/>
      <c r="C33" s="410" t="s">
        <v>373</v>
      </c>
      <c r="D33" s="411">
        <v>3628.12</v>
      </c>
      <c r="E33" s="409" t="s">
        <v>362</v>
      </c>
      <c r="H33" s="557"/>
      <c r="I33" s="558"/>
      <c r="J33" s="558"/>
      <c r="K33" s="558"/>
      <c r="L33" s="559"/>
      <c r="M33" s="487"/>
      <c r="U33" s="421"/>
    </row>
    <row r="34" spans="1:21" x14ac:dyDescent="0.25">
      <c r="A34" s="405" t="s">
        <v>376</v>
      </c>
      <c r="B34" s="406"/>
      <c r="C34" s="410" t="s">
        <v>377</v>
      </c>
      <c r="D34" s="411">
        <v>8642.4500000000007</v>
      </c>
      <c r="E34" s="409" t="s">
        <v>362</v>
      </c>
      <c r="H34" s="572" t="s">
        <v>421</v>
      </c>
      <c r="I34" s="573"/>
      <c r="J34" s="573"/>
      <c r="K34" s="573"/>
      <c r="L34" s="574"/>
      <c r="M34" s="486"/>
      <c r="U34" s="430"/>
    </row>
    <row r="35" spans="1:21" x14ac:dyDescent="0.25">
      <c r="A35" s="405" t="s">
        <v>378</v>
      </c>
      <c r="B35" s="406"/>
      <c r="C35" s="410" t="s">
        <v>379</v>
      </c>
      <c r="D35" s="411">
        <v>6180.92</v>
      </c>
      <c r="E35" s="409" t="s">
        <v>362</v>
      </c>
      <c r="H35" s="546" t="s">
        <v>396</v>
      </c>
      <c r="I35" s="547"/>
      <c r="J35" s="548"/>
      <c r="K35" s="408">
        <v>2.5</v>
      </c>
      <c r="L35" s="409" t="s">
        <v>17</v>
      </c>
      <c r="M35" s="488"/>
      <c r="U35" s="430"/>
    </row>
    <row r="36" spans="1:21" x14ac:dyDescent="0.25">
      <c r="A36" s="405" t="s">
        <v>380</v>
      </c>
      <c r="B36" s="406"/>
      <c r="C36" s="410" t="s">
        <v>381</v>
      </c>
      <c r="D36" s="411">
        <v>14150.3</v>
      </c>
      <c r="E36" s="409" t="s">
        <v>362</v>
      </c>
      <c r="H36" s="546" t="s">
        <v>398</v>
      </c>
      <c r="I36" s="547"/>
      <c r="J36" s="548"/>
      <c r="K36" s="412">
        <f>D62</f>
        <v>123.62711999999999</v>
      </c>
      <c r="L36" s="409" t="s">
        <v>17</v>
      </c>
      <c r="M36" s="488"/>
      <c r="U36" s="421"/>
    </row>
    <row r="37" spans="1:21" ht="15.75" thickBot="1" x14ac:dyDescent="0.3">
      <c r="A37" s="610" t="s">
        <v>385</v>
      </c>
      <c r="B37" s="611"/>
      <c r="C37" s="612"/>
      <c r="D37" s="431">
        <f>SUM(D30:D36)/1000</f>
        <v>48.776309999999995</v>
      </c>
      <c r="E37" s="432" t="s">
        <v>17</v>
      </c>
      <c r="F37" s="440"/>
      <c r="G37" s="440"/>
      <c r="H37" s="546" t="s">
        <v>399</v>
      </c>
      <c r="I37" s="547"/>
      <c r="J37" s="548"/>
      <c r="K37" s="418">
        <v>52.6</v>
      </c>
      <c r="L37" s="409" t="s">
        <v>17</v>
      </c>
      <c r="M37" s="488"/>
      <c r="U37" s="430"/>
    </row>
    <row r="38" spans="1:21" x14ac:dyDescent="0.25">
      <c r="A38" s="587"/>
      <c r="B38" s="588"/>
      <c r="C38" s="588"/>
      <c r="D38" s="588"/>
      <c r="E38" s="589"/>
      <c r="F38" s="401"/>
      <c r="G38" s="483"/>
      <c r="H38" s="549" t="s">
        <v>411</v>
      </c>
      <c r="I38" s="547"/>
      <c r="J38" s="548"/>
      <c r="K38" s="418">
        <v>37</v>
      </c>
      <c r="L38" s="409" t="s">
        <v>17</v>
      </c>
      <c r="M38" s="488"/>
      <c r="U38" s="430"/>
    </row>
    <row r="39" spans="1:21" ht="15.75" thickBot="1" x14ac:dyDescent="0.3">
      <c r="A39" s="590"/>
      <c r="B39" s="591"/>
      <c r="C39" s="591"/>
      <c r="D39" s="591"/>
      <c r="E39" s="592"/>
      <c r="F39" s="401"/>
      <c r="G39" s="483"/>
      <c r="H39" s="549" t="s">
        <v>408</v>
      </c>
      <c r="I39" s="547"/>
      <c r="J39" s="548"/>
      <c r="K39" s="418">
        <v>68.2</v>
      </c>
      <c r="L39" s="409" t="s">
        <v>17</v>
      </c>
      <c r="M39" s="488"/>
      <c r="U39" s="421"/>
    </row>
    <row r="40" spans="1:21" ht="15.75" thickBot="1" x14ac:dyDescent="0.3">
      <c r="A40" s="563" t="s">
        <v>406</v>
      </c>
      <c r="B40" s="564"/>
      <c r="C40" s="564"/>
      <c r="D40" s="564"/>
      <c r="E40" s="565"/>
      <c r="F40" s="477"/>
      <c r="G40" s="477"/>
      <c r="H40" s="593" t="s">
        <v>374</v>
      </c>
      <c r="I40" s="594"/>
      <c r="J40" s="595"/>
      <c r="K40" s="419">
        <f>SUM(K35:K39)</f>
        <v>283.92712</v>
      </c>
      <c r="L40" s="420" t="s">
        <v>17</v>
      </c>
      <c r="M40" s="489"/>
      <c r="U40" s="430"/>
    </row>
    <row r="41" spans="1:21" ht="15.75" thickBot="1" x14ac:dyDescent="0.3">
      <c r="A41" s="569" t="s">
        <v>401</v>
      </c>
      <c r="B41" s="570"/>
      <c r="C41" s="570"/>
      <c r="D41" s="570"/>
      <c r="E41" s="571"/>
      <c r="F41" s="401"/>
      <c r="G41" s="483"/>
      <c r="H41" s="584"/>
      <c r="I41" s="585"/>
      <c r="J41" s="585"/>
      <c r="K41" s="585"/>
      <c r="L41" s="586"/>
      <c r="M41" s="487"/>
      <c r="U41" s="430"/>
    </row>
    <row r="42" spans="1:21" x14ac:dyDescent="0.25">
      <c r="A42" s="405" t="s">
        <v>355</v>
      </c>
      <c r="B42" s="406" t="s">
        <v>356</v>
      </c>
      <c r="C42" s="406" t="s">
        <v>357</v>
      </c>
      <c r="D42" s="406" t="s">
        <v>358</v>
      </c>
      <c r="E42" s="407" t="s">
        <v>359</v>
      </c>
      <c r="F42" s="401"/>
      <c r="G42" s="483"/>
      <c r="U42" s="430"/>
    </row>
    <row r="43" spans="1:21" x14ac:dyDescent="0.25">
      <c r="A43" s="405" t="s">
        <v>360</v>
      </c>
      <c r="B43" s="406"/>
      <c r="C43" s="410" t="s">
        <v>361</v>
      </c>
      <c r="D43" s="411">
        <v>6410.22</v>
      </c>
      <c r="E43" s="409" t="s">
        <v>362</v>
      </c>
      <c r="U43" s="430"/>
    </row>
    <row r="44" spans="1:21" x14ac:dyDescent="0.25">
      <c r="A44" s="405" t="s">
        <v>366</v>
      </c>
      <c r="B44" s="406"/>
      <c r="C44" s="410" t="s">
        <v>367</v>
      </c>
      <c r="D44" s="411">
        <v>7010.8</v>
      </c>
      <c r="E44" s="409" t="s">
        <v>362</v>
      </c>
      <c r="U44" s="430"/>
    </row>
    <row r="45" spans="1:21" x14ac:dyDescent="0.25">
      <c r="A45" s="405" t="s">
        <v>369</v>
      </c>
      <c r="B45" s="406"/>
      <c r="C45" s="410" t="s">
        <v>370</v>
      </c>
      <c r="D45" s="411">
        <v>6592.63</v>
      </c>
      <c r="E45" s="409" t="s">
        <v>362</v>
      </c>
      <c r="N45" s="613"/>
      <c r="U45" s="421"/>
    </row>
    <row r="46" spans="1:21" x14ac:dyDescent="0.25">
      <c r="A46" s="405" t="s">
        <v>372</v>
      </c>
      <c r="B46" s="406"/>
      <c r="C46" s="410" t="s">
        <v>373</v>
      </c>
      <c r="D46" s="411">
        <v>4067.67</v>
      </c>
      <c r="E46" s="409" t="s">
        <v>362</v>
      </c>
      <c r="N46" s="613"/>
      <c r="U46" s="426"/>
    </row>
    <row r="47" spans="1:21" x14ac:dyDescent="0.25">
      <c r="A47" s="405" t="s">
        <v>376</v>
      </c>
      <c r="B47" s="406"/>
      <c r="C47" s="410" t="s">
        <v>377</v>
      </c>
      <c r="D47" s="411">
        <v>2272.85</v>
      </c>
      <c r="E47" s="409" t="s">
        <v>362</v>
      </c>
      <c r="N47" s="403"/>
      <c r="U47" s="426"/>
    </row>
    <row r="48" spans="1:21" x14ac:dyDescent="0.25">
      <c r="A48" s="405" t="s">
        <v>378</v>
      </c>
      <c r="B48" s="406"/>
      <c r="C48" s="410" t="s">
        <v>379</v>
      </c>
      <c r="D48" s="411">
        <v>8054.89</v>
      </c>
      <c r="E48" s="409" t="s">
        <v>362</v>
      </c>
      <c r="N48" s="616"/>
    </row>
    <row r="49" spans="1:14" x14ac:dyDescent="0.25">
      <c r="A49" s="405" t="s">
        <v>380</v>
      </c>
      <c r="B49" s="406"/>
      <c r="C49" s="410" t="s">
        <v>381</v>
      </c>
      <c r="D49" s="411">
        <v>5211.58</v>
      </c>
      <c r="E49" s="409" t="s">
        <v>362</v>
      </c>
      <c r="N49" s="616"/>
    </row>
    <row r="50" spans="1:14" ht="15.75" thickBot="1" x14ac:dyDescent="0.3">
      <c r="A50" s="581" t="s">
        <v>385</v>
      </c>
      <c r="B50" s="582"/>
      <c r="C50" s="582"/>
      <c r="D50" s="434">
        <f>SUM(D43:D49)/1000</f>
        <v>39.620640000000002</v>
      </c>
      <c r="E50" s="423" t="s">
        <v>17</v>
      </c>
      <c r="F50" s="440"/>
      <c r="G50" s="440"/>
      <c r="N50" s="421"/>
    </row>
    <row r="51" spans="1:14" x14ac:dyDescent="0.25">
      <c r="A51" s="587"/>
      <c r="B51" s="588"/>
      <c r="C51" s="588"/>
      <c r="D51" s="588"/>
      <c r="E51" s="589"/>
      <c r="F51" s="401"/>
      <c r="G51" s="483"/>
      <c r="N51" s="433"/>
    </row>
    <row r="52" spans="1:14" ht="15.75" thickBot="1" x14ac:dyDescent="0.3">
      <c r="A52" s="590"/>
      <c r="B52" s="591"/>
      <c r="C52" s="591"/>
      <c r="D52" s="591"/>
      <c r="E52" s="592"/>
      <c r="F52" s="401"/>
      <c r="G52" s="483"/>
      <c r="N52" s="421"/>
    </row>
    <row r="53" spans="1:14" ht="15.75" thickBot="1" x14ac:dyDescent="0.3">
      <c r="A53" s="551" t="s">
        <v>400</v>
      </c>
      <c r="B53" s="552"/>
      <c r="C53" s="552"/>
      <c r="D53" s="552"/>
      <c r="E53" s="553"/>
      <c r="F53" s="477"/>
      <c r="G53" s="477"/>
      <c r="N53" s="433"/>
    </row>
    <row r="54" spans="1:14" x14ac:dyDescent="0.25">
      <c r="A54" s="617" t="s">
        <v>402</v>
      </c>
      <c r="B54" s="618"/>
      <c r="C54" s="618"/>
      <c r="D54" s="618"/>
      <c r="E54" s="619"/>
      <c r="F54" s="401"/>
      <c r="G54" s="483"/>
      <c r="N54" s="404"/>
    </row>
    <row r="55" spans="1:14" x14ac:dyDescent="0.25">
      <c r="A55" s="405" t="s">
        <v>355</v>
      </c>
      <c r="B55" s="406" t="s">
        <v>356</v>
      </c>
      <c r="C55" s="406" t="s">
        <v>357</v>
      </c>
      <c r="D55" s="406" t="s">
        <v>358</v>
      </c>
      <c r="E55" s="407" t="s">
        <v>359</v>
      </c>
      <c r="F55" s="401"/>
      <c r="G55" s="483"/>
      <c r="N55" s="404"/>
    </row>
    <row r="56" spans="1:14" x14ac:dyDescent="0.25">
      <c r="A56" s="405" t="s">
        <v>360</v>
      </c>
      <c r="B56" s="406"/>
      <c r="C56" s="410" t="s">
        <v>361</v>
      </c>
      <c r="D56" s="411">
        <v>27095.23</v>
      </c>
      <c r="E56" s="409" t="s">
        <v>362</v>
      </c>
    </row>
    <row r="57" spans="1:14" x14ac:dyDescent="0.25">
      <c r="A57" s="405" t="s">
        <v>366</v>
      </c>
      <c r="B57" s="406"/>
      <c r="C57" s="410" t="s">
        <v>367</v>
      </c>
      <c r="D57" s="411">
        <v>25751.68</v>
      </c>
      <c r="E57" s="409" t="s">
        <v>362</v>
      </c>
    </row>
    <row r="58" spans="1:14" x14ac:dyDescent="0.25">
      <c r="A58" s="405" t="s">
        <v>369</v>
      </c>
      <c r="B58" s="406"/>
      <c r="C58" s="410" t="s">
        <v>370</v>
      </c>
      <c r="D58" s="411">
        <v>9736.7800000000007</v>
      </c>
      <c r="E58" s="409" t="s">
        <v>362</v>
      </c>
    </row>
    <row r="59" spans="1:14" x14ac:dyDescent="0.25">
      <c r="A59" s="405" t="s">
        <v>372</v>
      </c>
      <c r="B59" s="406"/>
      <c r="C59" s="410" t="s">
        <v>373</v>
      </c>
      <c r="D59" s="411">
        <v>26046.46</v>
      </c>
      <c r="E59" s="409" t="s">
        <v>362</v>
      </c>
    </row>
    <row r="60" spans="1:14" x14ac:dyDescent="0.25">
      <c r="A60" s="405" t="s">
        <v>376</v>
      </c>
      <c r="B60" s="406"/>
      <c r="C60" s="410" t="s">
        <v>377</v>
      </c>
      <c r="D60" s="411">
        <v>8416.77</v>
      </c>
      <c r="E60" s="409" t="s">
        <v>362</v>
      </c>
    </row>
    <row r="61" spans="1:14" x14ac:dyDescent="0.25">
      <c r="A61" s="405" t="s">
        <v>378</v>
      </c>
      <c r="B61" s="406"/>
      <c r="C61" s="410" t="s">
        <v>379</v>
      </c>
      <c r="D61" s="411">
        <v>26580.2</v>
      </c>
      <c r="E61" s="409" t="s">
        <v>362</v>
      </c>
    </row>
    <row r="62" spans="1:14" ht="15.75" thickBot="1" x14ac:dyDescent="0.3">
      <c r="A62" s="610" t="s">
        <v>385</v>
      </c>
      <c r="B62" s="611"/>
      <c r="C62" s="612"/>
      <c r="D62" s="431">
        <f>SUM(D56:D61)/1000</f>
        <v>123.62711999999999</v>
      </c>
      <c r="E62" s="432" t="s">
        <v>17</v>
      </c>
      <c r="F62" s="440"/>
      <c r="G62" s="440"/>
    </row>
    <row r="67" spans="14:14" x14ac:dyDescent="0.25">
      <c r="N67" s="435"/>
    </row>
    <row r="68" spans="14:14" x14ac:dyDescent="0.25">
      <c r="N68" s="435"/>
    </row>
    <row r="70" spans="14:14" x14ac:dyDescent="0.25">
      <c r="N70" s="435"/>
    </row>
    <row r="71" spans="14:14" x14ac:dyDescent="0.25">
      <c r="N71" s="435"/>
    </row>
    <row r="74" spans="14:14" x14ac:dyDescent="0.25">
      <c r="N74" s="436"/>
    </row>
    <row r="75" spans="14:14" x14ac:dyDescent="0.25">
      <c r="N75" s="437"/>
    </row>
    <row r="76" spans="14:14" x14ac:dyDescent="0.25">
      <c r="N76" s="437"/>
    </row>
    <row r="114" spans="10:11" x14ac:dyDescent="0.25">
      <c r="J114" s="438"/>
    </row>
    <row r="115" spans="10:11" x14ac:dyDescent="0.25">
      <c r="J115" s="439"/>
      <c r="K115" s="440"/>
    </row>
    <row r="149" spans="8:11" x14ac:dyDescent="0.25">
      <c r="H149" s="440"/>
      <c r="I149" s="440"/>
      <c r="J149" s="440"/>
      <c r="K149" s="440"/>
    </row>
    <row r="150" spans="8:11" x14ac:dyDescent="0.25">
      <c r="H150" s="440"/>
      <c r="I150" s="440"/>
      <c r="J150" s="440"/>
      <c r="K150" s="440"/>
    </row>
    <row r="151" spans="8:11" ht="15.75" customHeight="1" x14ac:dyDescent="0.25">
      <c r="J151" s="441"/>
    </row>
    <row r="152" spans="8:11" x14ac:dyDescent="0.25">
      <c r="J152" s="417"/>
    </row>
    <row r="153" spans="8:11" ht="15.75" customHeight="1" x14ac:dyDescent="0.25">
      <c r="J153" s="438"/>
    </row>
    <row r="154" spans="8:11" x14ac:dyDescent="0.25">
      <c r="J154" s="438"/>
    </row>
    <row r="155" spans="8:11" x14ac:dyDescent="0.25">
      <c r="J155" s="439"/>
      <c r="K155" s="440"/>
    </row>
    <row r="157" spans="8:11" x14ac:dyDescent="0.25">
      <c r="H157" s="440"/>
      <c r="I157" s="440"/>
      <c r="J157" s="440"/>
      <c r="K157" s="440"/>
    </row>
    <row r="158" spans="8:11" x14ac:dyDescent="0.25">
      <c r="J158" s="441"/>
    </row>
    <row r="159" spans="8:11" x14ac:dyDescent="0.25">
      <c r="J159" s="417"/>
    </row>
    <row r="160" spans="8:11" x14ac:dyDescent="0.25">
      <c r="J160" s="438"/>
    </row>
    <row r="161" spans="8:11" x14ac:dyDescent="0.25">
      <c r="J161" s="438"/>
    </row>
    <row r="162" spans="8:11" x14ac:dyDescent="0.25">
      <c r="J162" s="439"/>
      <c r="K162" s="440"/>
    </row>
    <row r="164" spans="8:11" x14ac:dyDescent="0.25">
      <c r="H164" s="440"/>
      <c r="I164" s="440"/>
      <c r="J164" s="440"/>
      <c r="K164" s="440"/>
    </row>
    <row r="165" spans="8:11" x14ac:dyDescent="0.25">
      <c r="J165" s="441"/>
    </row>
    <row r="166" spans="8:11" ht="15.75" customHeight="1" x14ac:dyDescent="0.25">
      <c r="J166" s="417"/>
    </row>
    <row r="167" spans="8:11" x14ac:dyDescent="0.25">
      <c r="J167" s="438"/>
    </row>
    <row r="168" spans="8:11" x14ac:dyDescent="0.25">
      <c r="J168" s="438"/>
    </row>
    <row r="169" spans="8:11" ht="15.75" customHeight="1" x14ac:dyDescent="0.25">
      <c r="J169" s="439"/>
      <c r="K169" s="440"/>
    </row>
    <row r="173" spans="8:11" x14ac:dyDescent="0.25">
      <c r="H173" s="440"/>
      <c r="I173" s="440"/>
      <c r="J173" s="440"/>
      <c r="K173" s="440"/>
    </row>
    <row r="174" spans="8:11" x14ac:dyDescent="0.25">
      <c r="H174" s="440"/>
      <c r="I174" s="440"/>
      <c r="J174" s="440"/>
      <c r="K174" s="440"/>
    </row>
    <row r="175" spans="8:11" x14ac:dyDescent="0.25">
      <c r="J175" s="441"/>
    </row>
    <row r="176" spans="8:11" x14ac:dyDescent="0.25">
      <c r="J176" s="417"/>
    </row>
    <row r="177" spans="10:11" x14ac:dyDescent="0.25">
      <c r="J177" s="438"/>
    </row>
    <row r="178" spans="10:11" x14ac:dyDescent="0.25">
      <c r="J178" s="438"/>
    </row>
    <row r="179" spans="10:11" x14ac:dyDescent="0.25">
      <c r="J179" s="439"/>
      <c r="K179" s="440"/>
    </row>
    <row r="193" ht="15.75" customHeight="1" x14ac:dyDescent="0.25"/>
    <row r="194" ht="15.75" customHeight="1" x14ac:dyDescent="0.25"/>
  </sheetData>
  <mergeCells count="88">
    <mergeCell ref="A62:C62"/>
    <mergeCell ref="N48:N49"/>
    <mergeCell ref="A50:C50"/>
    <mergeCell ref="A51:E52"/>
    <mergeCell ref="A53:E53"/>
    <mergeCell ref="A54:E54"/>
    <mergeCell ref="N45:N46"/>
    <mergeCell ref="O23:R23"/>
    <mergeCell ref="A27:E27"/>
    <mergeCell ref="A28:E28"/>
    <mergeCell ref="H32:L32"/>
    <mergeCell ref="H33:L33"/>
    <mergeCell ref="H34:L34"/>
    <mergeCell ref="H30:J30"/>
    <mergeCell ref="H38:J38"/>
    <mergeCell ref="A38:E39"/>
    <mergeCell ref="A40:E40"/>
    <mergeCell ref="A41:E41"/>
    <mergeCell ref="O24:R24"/>
    <mergeCell ref="H29:J29"/>
    <mergeCell ref="A24:C24"/>
    <mergeCell ref="H40:J40"/>
    <mergeCell ref="A25:E26"/>
    <mergeCell ref="H41:L41"/>
    <mergeCell ref="H36:J36"/>
    <mergeCell ref="H37:J37"/>
    <mergeCell ref="H39:J39"/>
    <mergeCell ref="H35:J35"/>
    <mergeCell ref="H31:J31"/>
    <mergeCell ref="A37:C37"/>
    <mergeCell ref="H25:L25"/>
    <mergeCell ref="H26:L26"/>
    <mergeCell ref="H27:J27"/>
    <mergeCell ref="H28:J28"/>
    <mergeCell ref="H24:J24"/>
    <mergeCell ref="O17:O18"/>
    <mergeCell ref="P17:P18"/>
    <mergeCell ref="Q17:R18"/>
    <mergeCell ref="S17:S18"/>
    <mergeCell ref="H22:J22"/>
    <mergeCell ref="H21:J21"/>
    <mergeCell ref="H17:J17"/>
    <mergeCell ref="H18:L18"/>
    <mergeCell ref="H20:J20"/>
    <mergeCell ref="H16:J16"/>
    <mergeCell ref="H19:L19"/>
    <mergeCell ref="O20:T20"/>
    <mergeCell ref="O22:T22"/>
    <mergeCell ref="H23:J23"/>
    <mergeCell ref="O16:T16"/>
    <mergeCell ref="T17:T18"/>
    <mergeCell ref="A14:E14"/>
    <mergeCell ref="A15:E15"/>
    <mergeCell ref="O9:T9"/>
    <mergeCell ref="H12:J12"/>
    <mergeCell ref="H13:J13"/>
    <mergeCell ref="H14:J14"/>
    <mergeCell ref="A11:C11"/>
    <mergeCell ref="O12:R12"/>
    <mergeCell ref="H10:L10"/>
    <mergeCell ref="H11:L11"/>
    <mergeCell ref="A12:E13"/>
    <mergeCell ref="H9:J9"/>
    <mergeCell ref="H15:J15"/>
    <mergeCell ref="O11:T11"/>
    <mergeCell ref="O13:R13"/>
    <mergeCell ref="O14:T15"/>
    <mergeCell ref="P4:P5"/>
    <mergeCell ref="Q4:R5"/>
    <mergeCell ref="S4:S5"/>
    <mergeCell ref="T4:T5"/>
    <mergeCell ref="H5:J5"/>
    <mergeCell ref="H6:J6"/>
    <mergeCell ref="H7:J7"/>
    <mergeCell ref="H8:J8"/>
    <mergeCell ref="O7:T7"/>
    <mergeCell ref="A1:E1"/>
    <mergeCell ref="H1:L1"/>
    <mergeCell ref="O1:T1"/>
    <mergeCell ref="A2:E2"/>
    <mergeCell ref="H2:L2"/>
    <mergeCell ref="O2:T2"/>
    <mergeCell ref="A3:E3"/>
    <mergeCell ref="H3:L3"/>
    <mergeCell ref="O3:T3"/>
    <mergeCell ref="A4:E4"/>
    <mergeCell ref="H4:L4"/>
    <mergeCell ref="O4:O5"/>
  </mergeCells>
  <pageMargins left="0.51181102362204722" right="0.51181102362204722" top="0.78740157480314965" bottom="0.78740157480314965" header="0.31496062992125984" footer="0.31496062992125984"/>
  <pageSetup paperSize="9" scale="76" fitToWidth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view="pageBreakPreview" topLeftCell="A216" zoomScaleSheetLayoutView="100" workbookViewId="0">
      <selection activeCell="G17" sqref="G17"/>
    </sheetView>
  </sheetViews>
  <sheetFormatPr defaultColWidth="9.140625" defaultRowHeight="12.75" x14ac:dyDescent="0.2"/>
  <cols>
    <col min="1" max="1" width="44.5703125" style="7" customWidth="1"/>
    <col min="2" max="2" width="16" style="7" bestFit="1" customWidth="1"/>
    <col min="3" max="3" width="11.85546875" style="7" customWidth="1"/>
    <col min="4" max="4" width="14.7109375" style="8" customWidth="1"/>
    <col min="5" max="5" width="15.42578125" style="8" customWidth="1"/>
    <col min="6" max="6" width="13.28515625" style="8" customWidth="1"/>
    <col min="7" max="7" width="28.140625" style="8" customWidth="1"/>
    <col min="8" max="8" width="9.140625" style="7"/>
    <col min="9" max="9" width="14.5703125" style="7" customWidth="1"/>
    <col min="10" max="10" width="13.42578125" style="7" customWidth="1"/>
    <col min="11" max="16384" width="9.140625" style="7"/>
  </cols>
  <sheetData>
    <row r="1" spans="1:7" s="2" customFormat="1" ht="16.5" customHeight="1" thickBot="1" x14ac:dyDescent="0.25">
      <c r="A1" s="135" t="s">
        <v>331</v>
      </c>
      <c r="B1" s="3"/>
      <c r="C1" s="3"/>
      <c r="D1" s="4"/>
      <c r="E1" s="4"/>
      <c r="F1" s="4"/>
      <c r="G1" s="4"/>
    </row>
    <row r="2" spans="1:7" s="6" customFormat="1" ht="18" x14ac:dyDescent="0.2">
      <c r="A2" s="494" t="s">
        <v>220</v>
      </c>
      <c r="B2" s="495"/>
      <c r="C2" s="495"/>
      <c r="D2" s="495"/>
      <c r="E2" s="495"/>
      <c r="F2" s="496"/>
      <c r="G2" s="33"/>
    </row>
    <row r="3" spans="1:7" s="6" customFormat="1" ht="21.75" customHeight="1" x14ac:dyDescent="0.2">
      <c r="A3" s="497" t="s">
        <v>41</v>
      </c>
      <c r="B3" s="498"/>
      <c r="C3" s="498"/>
      <c r="D3" s="498"/>
      <c r="E3" s="498"/>
      <c r="F3" s="499"/>
      <c r="G3" s="33"/>
    </row>
    <row r="4" spans="1:7" s="2" customFormat="1" ht="10.9" customHeight="1" thickBot="1" x14ac:dyDescent="0.25">
      <c r="A4" s="136"/>
      <c r="B4" s="3"/>
      <c r="C4" s="3"/>
      <c r="D4" s="137"/>
      <c r="E4" s="137"/>
      <c r="F4" s="138"/>
      <c r="G4" s="4"/>
    </row>
    <row r="5" spans="1:7" s="2" customFormat="1" ht="15.75" customHeight="1" thickBot="1" x14ac:dyDescent="0.25">
      <c r="A5" s="503" t="s">
        <v>198</v>
      </c>
      <c r="B5" s="504"/>
      <c r="C5" s="504"/>
      <c r="D5" s="504"/>
      <c r="E5" s="504"/>
      <c r="F5" s="505"/>
      <c r="G5" s="4"/>
    </row>
    <row r="6" spans="1:7" s="2" customFormat="1" ht="15.75" customHeight="1" x14ac:dyDescent="0.2">
      <c r="A6" s="58" t="s">
        <v>197</v>
      </c>
      <c r="B6" s="36"/>
      <c r="C6" s="36"/>
      <c r="D6" s="235"/>
      <c r="E6" s="105" t="s">
        <v>36</v>
      </c>
      <c r="F6" s="37" t="s">
        <v>1</v>
      </c>
      <c r="G6" s="4"/>
    </row>
    <row r="7" spans="1:7" s="9" customFormat="1" ht="15.75" customHeight="1" x14ac:dyDescent="0.2">
      <c r="A7" s="114" t="str">
        <f>A44</f>
        <v>1. Mão-de-obra</v>
      </c>
      <c r="B7" s="115"/>
      <c r="C7" s="116"/>
      <c r="D7" s="116"/>
      <c r="E7" s="232">
        <f>+F118</f>
        <v>14023.242258272727</v>
      </c>
      <c r="F7" s="117">
        <f>IFERROR(E7/$E$28,0)</f>
        <v>0.29649328421757815</v>
      </c>
      <c r="G7" s="40"/>
    </row>
    <row r="8" spans="1:7" s="2" customFormat="1" ht="15.75" customHeight="1" x14ac:dyDescent="0.2">
      <c r="A8" s="45" t="str">
        <f>A45</f>
        <v>1.1. Coletor Turno Dia/noite</v>
      </c>
      <c r="B8" s="41"/>
      <c r="C8" s="43"/>
      <c r="D8" s="43"/>
      <c r="E8" s="233">
        <f>F56</f>
        <v>6812.8930990909093</v>
      </c>
      <c r="F8" s="52">
        <f>IFERROR(E8/$E$28,0)</f>
        <v>0.14404493716715858</v>
      </c>
      <c r="G8" s="4"/>
    </row>
    <row r="9" spans="1:7" s="2" customFormat="1" ht="15.75" hidden="1" customHeight="1" x14ac:dyDescent="0.2">
      <c r="A9" s="45" t="str">
        <f>A58</f>
        <v>1.2. Coletor Turno Noite</v>
      </c>
      <c r="B9" s="41"/>
      <c r="C9" s="43"/>
      <c r="D9" s="43"/>
      <c r="E9" s="233">
        <f>F68</f>
        <v>0</v>
      </c>
      <c r="F9" s="52">
        <f t="shared" ref="F9:F27" si="0">IFERROR(E9/$E$28,0)</f>
        <v>0</v>
      </c>
      <c r="G9" s="4"/>
    </row>
    <row r="10" spans="1:7" s="2" customFormat="1" ht="15.75" customHeight="1" x14ac:dyDescent="0.2">
      <c r="A10" s="45" t="str">
        <f>A70</f>
        <v>1.2. Motorista Turno do Dia/noite</v>
      </c>
      <c r="B10" s="41"/>
      <c r="C10" s="43"/>
      <c r="D10" s="43"/>
      <c r="E10" s="233">
        <f>F83</f>
        <v>4727.6345409999994</v>
      </c>
      <c r="F10" s="52">
        <f t="shared" si="0"/>
        <v>9.9956334335922992E-2</v>
      </c>
      <c r="G10" s="4"/>
    </row>
    <row r="11" spans="1:7" s="2" customFormat="1" ht="15.75" customHeight="1" x14ac:dyDescent="0.2">
      <c r="A11" s="45" t="str">
        <f>A85</f>
        <v>1.3. Encarregado</v>
      </c>
      <c r="B11" s="41"/>
      <c r="C11" s="43"/>
      <c r="D11" s="43"/>
      <c r="E11" s="233">
        <f>F92</f>
        <v>889.10681818181808</v>
      </c>
      <c r="F11" s="52">
        <f t="shared" si="0"/>
        <v>1.8798377414285524E-2</v>
      </c>
      <c r="G11" s="4"/>
    </row>
    <row r="12" spans="1:7" s="2" customFormat="1" x14ac:dyDescent="0.2">
      <c r="A12" s="45" t="str">
        <f>A94</f>
        <v>1.4. Vale Transporte</v>
      </c>
      <c r="B12" s="41"/>
      <c r="C12" s="43"/>
      <c r="D12" s="43"/>
      <c r="E12" s="233">
        <f>F100</f>
        <v>182.02379999999999</v>
      </c>
      <c r="F12" s="52">
        <f t="shared" si="0"/>
        <v>3.848527556879778E-3</v>
      </c>
      <c r="G12" s="4"/>
    </row>
    <row r="13" spans="1:7" s="2" customFormat="1" ht="15.75" customHeight="1" x14ac:dyDescent="0.2">
      <c r="A13" s="45" t="str">
        <f>A102</f>
        <v>1.5. Vale-refeição (diário)</v>
      </c>
      <c r="B13" s="41"/>
      <c r="C13" s="43"/>
      <c r="D13" s="43"/>
      <c r="E13" s="233">
        <f>F106</f>
        <v>1258.94</v>
      </c>
      <c r="F13" s="52">
        <f t="shared" si="0"/>
        <v>2.6617757032092661E-2</v>
      </c>
      <c r="G13" s="4"/>
    </row>
    <row r="14" spans="1:7" s="2" customFormat="1" ht="13.5" customHeight="1" x14ac:dyDescent="0.2">
      <c r="A14" s="45" t="str">
        <f>A108</f>
        <v>1.6. Auxílio Alimentação (mensal)</v>
      </c>
      <c r="B14" s="41"/>
      <c r="C14" s="43"/>
      <c r="D14" s="43"/>
      <c r="E14" s="233">
        <f>F112</f>
        <v>97.144000000000005</v>
      </c>
      <c r="F14" s="52">
        <f t="shared" si="0"/>
        <v>2.0539147132711722E-3</v>
      </c>
      <c r="G14" s="4"/>
    </row>
    <row r="15" spans="1:7" s="2" customFormat="1" ht="13.5" customHeight="1" x14ac:dyDescent="0.2">
      <c r="A15" s="45" t="str">
        <f>A113</f>
        <v xml:space="preserve">1.7. Plano de Benefício Social  </v>
      </c>
      <c r="B15" s="41"/>
      <c r="C15" s="43"/>
      <c r="D15" s="43"/>
      <c r="E15" s="233">
        <f>F116</f>
        <v>55.5</v>
      </c>
      <c r="F15" s="52">
        <f t="shared" si="0"/>
        <v>1.1734359979674509E-3</v>
      </c>
      <c r="G15" s="4"/>
    </row>
    <row r="16" spans="1:7" s="9" customFormat="1" ht="15.75" customHeight="1" x14ac:dyDescent="0.2">
      <c r="A16" s="492" t="str">
        <f>A120</f>
        <v>2. Uniformes e Equipamentos de Proteção Individual</v>
      </c>
      <c r="B16" s="493"/>
      <c r="C16" s="493"/>
      <c r="D16" s="116"/>
      <c r="E16" s="232">
        <f>+F152</f>
        <v>391.82575757575756</v>
      </c>
      <c r="F16" s="117">
        <f t="shared" si="0"/>
        <v>8.2843684481128214E-3</v>
      </c>
      <c r="G16" s="40"/>
    </row>
    <row r="17" spans="1:7" s="9" customFormat="1" ht="15.75" customHeight="1" x14ac:dyDescent="0.2">
      <c r="A17" s="125" t="str">
        <f>A154</f>
        <v>3. Veículos e Equipamentos</v>
      </c>
      <c r="B17" s="126"/>
      <c r="C17" s="116"/>
      <c r="D17" s="116"/>
      <c r="E17" s="232">
        <f>+F231</f>
        <v>21337.323209996906</v>
      </c>
      <c r="F17" s="117">
        <f t="shared" si="0"/>
        <v>0.45113483161940132</v>
      </c>
      <c r="G17" s="40"/>
    </row>
    <row r="18" spans="1:7" s="2" customFormat="1" ht="15.75" customHeight="1" x14ac:dyDescent="0.2">
      <c r="A18" s="59" t="str">
        <f>A155</f>
        <v>3.1. Veículo Coletor Compactador xx m³</v>
      </c>
      <c r="B18" s="42"/>
      <c r="C18" s="43"/>
      <c r="D18" s="43"/>
      <c r="E18" s="233">
        <f>SUM(E19:E24)</f>
        <v>21337.323209996906</v>
      </c>
      <c r="F18" s="131">
        <f t="shared" si="0"/>
        <v>0.45113483161940132</v>
      </c>
      <c r="G18" s="4"/>
    </row>
    <row r="19" spans="1:7" s="2" customFormat="1" ht="15.75" customHeight="1" x14ac:dyDescent="0.2">
      <c r="A19" s="59" t="str">
        <f>A156</f>
        <v>3.1.1. Depreciação</v>
      </c>
      <c r="B19" s="42"/>
      <c r="C19" s="43"/>
      <c r="D19" s="43"/>
      <c r="E19" s="233">
        <f>F170</f>
        <v>2064.0333333333333</v>
      </c>
      <c r="F19" s="131">
        <f t="shared" si="0"/>
        <v>4.3639838096181695E-2</v>
      </c>
      <c r="G19" s="4"/>
    </row>
    <row r="20" spans="1:7" s="2" customFormat="1" ht="15.75" customHeight="1" x14ac:dyDescent="0.2">
      <c r="A20" s="59" t="str">
        <f>A172</f>
        <v>3.1.2. Remuneração do Capital</v>
      </c>
      <c r="B20" s="42"/>
      <c r="C20" s="43"/>
      <c r="D20" s="43"/>
      <c r="E20" s="233">
        <f>F186</f>
        <v>2237.8516666666665</v>
      </c>
      <c r="F20" s="131">
        <f t="shared" si="0"/>
        <v>4.7314877545551769E-2</v>
      </c>
      <c r="G20" s="4"/>
    </row>
    <row r="21" spans="1:7" s="2" customFormat="1" ht="15.75" customHeight="1" x14ac:dyDescent="0.2">
      <c r="A21" s="59" t="str">
        <f>A188</f>
        <v>3.1.3. Impostos e Seguros</v>
      </c>
      <c r="B21" s="42"/>
      <c r="C21" s="43"/>
      <c r="D21" s="43"/>
      <c r="E21" s="233">
        <f>F194</f>
        <v>474.50833333333338</v>
      </c>
      <c r="F21" s="131">
        <f t="shared" si="0"/>
        <v>1.0032525399439133E-2</v>
      </c>
      <c r="G21" s="4"/>
    </row>
    <row r="22" spans="1:7" s="2" customFormat="1" ht="15.75" customHeight="1" x14ac:dyDescent="0.2">
      <c r="A22" s="59" t="str">
        <f>A196</f>
        <v>3.1.4. Consumos</v>
      </c>
      <c r="B22" s="42"/>
      <c r="C22" s="43"/>
      <c r="D22" s="43"/>
      <c r="E22" s="233">
        <f>F214</f>
        <v>11701.777880770716</v>
      </c>
      <c r="F22" s="131">
        <f t="shared" si="0"/>
        <v>0.24741058388316448</v>
      </c>
      <c r="G22" s="4"/>
    </row>
    <row r="23" spans="1:7" s="2" customFormat="1" ht="15.75" customHeight="1" x14ac:dyDescent="0.2">
      <c r="A23" s="59" t="str">
        <f>A216</f>
        <v>3.1.5. Manutenção</v>
      </c>
      <c r="B23" s="42"/>
      <c r="C23" s="43"/>
      <c r="D23" s="43"/>
      <c r="E23" s="233">
        <f>F219</f>
        <v>3759.4986428571433</v>
      </c>
      <c r="F23" s="131">
        <f t="shared" si="0"/>
        <v>7.9487045798889169E-2</v>
      </c>
      <c r="G23" s="4"/>
    </row>
    <row r="24" spans="1:7" s="2" customFormat="1" ht="15.75" customHeight="1" x14ac:dyDescent="0.2">
      <c r="A24" s="59" t="str">
        <f>A221</f>
        <v>3.1.6. Pneus</v>
      </c>
      <c r="B24" s="42"/>
      <c r="C24" s="43"/>
      <c r="D24" s="43"/>
      <c r="E24" s="233">
        <f>F228</f>
        <v>1099.6533530357144</v>
      </c>
      <c r="F24" s="131">
        <f t="shared" si="0"/>
        <v>2.3249960896175082E-2</v>
      </c>
      <c r="G24" s="4"/>
    </row>
    <row r="25" spans="1:7" s="9" customFormat="1" ht="15.75" customHeight="1" x14ac:dyDescent="0.2">
      <c r="A25" s="125" t="str">
        <f>A233</f>
        <v>4. Ferramentas e Materiais de Consumo</v>
      </c>
      <c r="B25" s="126"/>
      <c r="C25" s="116"/>
      <c r="D25" s="116"/>
      <c r="E25" s="232">
        <f>+F243</f>
        <v>1642.1666666666665</v>
      </c>
      <c r="F25" s="117">
        <f t="shared" si="0"/>
        <v>3.4720314978898777E-2</v>
      </c>
      <c r="G25" s="40"/>
    </row>
    <row r="26" spans="1:7" s="9" customFormat="1" ht="15.75" customHeight="1" x14ac:dyDescent="0.2">
      <c r="A26" s="125" t="str">
        <f>A245</f>
        <v>5. Monitoramento da Frota</v>
      </c>
      <c r="B26" s="126"/>
      <c r="C26" s="116"/>
      <c r="D26" s="116"/>
      <c r="E26" s="232">
        <f>+F254</f>
        <v>110</v>
      </c>
      <c r="F26" s="117">
        <f t="shared" si="0"/>
        <v>2.3257290049805333E-3</v>
      </c>
      <c r="G26" s="40"/>
    </row>
    <row r="27" spans="1:7" s="9" customFormat="1" ht="15.75" customHeight="1" thickBot="1" x14ac:dyDescent="0.25">
      <c r="A27" s="125" t="str">
        <f>A258</f>
        <v>6. Benefícios e Despesas Indiretas - BDI</v>
      </c>
      <c r="B27" s="126"/>
      <c r="C27" s="116"/>
      <c r="D27" s="116"/>
      <c r="E27" s="234">
        <f>+F264</f>
        <v>9792.4400657348979</v>
      </c>
      <c r="F27" s="117">
        <f t="shared" si="0"/>
        <v>0.20704147173102846</v>
      </c>
      <c r="G27" s="40"/>
    </row>
    <row r="28" spans="1:7" s="2" customFormat="1" ht="15.75" customHeight="1" thickBot="1" x14ac:dyDescent="0.25">
      <c r="A28" s="38" t="s">
        <v>235</v>
      </c>
      <c r="B28" s="39"/>
      <c r="C28" s="24"/>
      <c r="D28" s="24"/>
      <c r="E28" s="104">
        <f>E7+E16+E17+E25+E26+E27</f>
        <v>47296.997958246953</v>
      </c>
      <c r="F28" s="130">
        <f>F7+F16+F17+F25+F26+F27</f>
        <v>1</v>
      </c>
      <c r="G28" s="4"/>
    </row>
    <row r="30" spans="1:7" ht="13.5" thickBot="1" x14ac:dyDescent="0.25"/>
    <row r="31" spans="1:7" s="2" customFormat="1" ht="15" customHeight="1" thickBot="1" x14ac:dyDescent="0.25">
      <c r="A31" s="503" t="s">
        <v>96</v>
      </c>
      <c r="B31" s="504"/>
      <c r="C31" s="504"/>
      <c r="D31" s="504"/>
      <c r="E31" s="505"/>
      <c r="F31" s="8"/>
      <c r="G31" s="4"/>
    </row>
    <row r="32" spans="1:7" s="2" customFormat="1" ht="15" customHeight="1" thickBot="1" x14ac:dyDescent="0.25">
      <c r="A32" s="500" t="s">
        <v>37</v>
      </c>
      <c r="B32" s="501"/>
      <c r="C32" s="501"/>
      <c r="D32" s="502"/>
      <c r="E32" s="44" t="s">
        <v>38</v>
      </c>
      <c r="F32" s="8"/>
      <c r="G32" s="4"/>
    </row>
    <row r="33" spans="1:7" s="2" customFormat="1" ht="15" customHeight="1" x14ac:dyDescent="0.2">
      <c r="A33" s="67" t="str">
        <f>+A45</f>
        <v>1.1. Coletor Turno Dia/noite</v>
      </c>
      <c r="B33" s="68"/>
      <c r="C33" s="68"/>
      <c r="D33" s="69"/>
      <c r="E33" s="70">
        <f>C55</f>
        <v>3</v>
      </c>
      <c r="F33" s="8"/>
      <c r="G33" s="4"/>
    </row>
    <row r="34" spans="1:7" s="2" customFormat="1" ht="15" hidden="1" customHeight="1" x14ac:dyDescent="0.2">
      <c r="A34" s="61" t="str">
        <f>+A58</f>
        <v>1.2. Coletor Turno Noite</v>
      </c>
      <c r="B34" s="60"/>
      <c r="C34" s="60"/>
      <c r="D34" s="71"/>
      <c r="E34" s="64">
        <f>C67</f>
        <v>0</v>
      </c>
      <c r="F34" s="8"/>
      <c r="G34" s="4"/>
    </row>
    <row r="35" spans="1:7" s="2" customFormat="1" ht="15" customHeight="1" x14ac:dyDescent="0.2">
      <c r="A35" s="61" t="str">
        <f>+A70</f>
        <v>1.2. Motorista Turno do Dia/noite</v>
      </c>
      <c r="B35" s="60"/>
      <c r="C35" s="60"/>
      <c r="D35" s="71"/>
      <c r="E35" s="64">
        <f>C82</f>
        <v>1</v>
      </c>
      <c r="F35" s="8"/>
      <c r="G35" s="4"/>
    </row>
    <row r="36" spans="1:7" s="2" customFormat="1" ht="15" customHeight="1" x14ac:dyDescent="0.2">
      <c r="A36" s="61" t="str">
        <f>+A85</f>
        <v>1.3. Encarregado</v>
      </c>
      <c r="B36" s="60"/>
      <c r="C36" s="60"/>
      <c r="D36" s="71"/>
      <c r="E36" s="64">
        <f>C91</f>
        <v>1</v>
      </c>
      <c r="F36" s="8"/>
      <c r="G36" s="4"/>
    </row>
    <row r="37" spans="1:7" s="2" customFormat="1" ht="15" customHeight="1" thickBot="1" x14ac:dyDescent="0.25">
      <c r="A37" s="65" t="s">
        <v>56</v>
      </c>
      <c r="B37" s="66"/>
      <c r="C37" s="66"/>
      <c r="D37" s="72"/>
      <c r="E37" s="73">
        <f>SUM(E33:E36)</f>
        <v>5</v>
      </c>
      <c r="F37" s="8"/>
      <c r="G37" s="4"/>
    </row>
    <row r="38" spans="1:7" s="2" customFormat="1" ht="15" customHeight="1" thickBot="1" x14ac:dyDescent="0.25">
      <c r="A38" s="118"/>
      <c r="B38" s="119"/>
      <c r="C38" s="53"/>
      <c r="D38" s="53"/>
      <c r="E38" s="120"/>
      <c r="F38" s="8"/>
      <c r="G38" s="4"/>
    </row>
    <row r="39" spans="1:7" s="2" customFormat="1" ht="15" customHeight="1" x14ac:dyDescent="0.2">
      <c r="A39" s="490" t="s">
        <v>54</v>
      </c>
      <c r="B39" s="491"/>
      <c r="C39" s="491"/>
      <c r="D39" s="491"/>
      <c r="E39" s="44" t="s">
        <v>38</v>
      </c>
      <c r="F39" s="7"/>
      <c r="G39" s="4"/>
    </row>
    <row r="40" spans="1:7" s="2" customFormat="1" ht="15" customHeight="1" thickBot="1" x14ac:dyDescent="0.25">
      <c r="A40" s="121" t="str">
        <f>+A155</f>
        <v>3.1. Veículo Coletor Compactador xx m³</v>
      </c>
      <c r="B40" s="122"/>
      <c r="C40" s="122"/>
      <c r="D40" s="123"/>
      <c r="E40" s="124">
        <f>C169</f>
        <v>1</v>
      </c>
      <c r="F40" s="7"/>
      <c r="G40" s="4"/>
    </row>
    <row r="41" spans="1:7" s="2" customFormat="1" ht="15" customHeight="1" thickBot="1" x14ac:dyDescent="0.25">
      <c r="A41" s="53"/>
      <c r="B41" s="53"/>
      <c r="C41" s="53"/>
      <c r="D41" s="7"/>
      <c r="E41" s="225"/>
      <c r="F41" s="7"/>
      <c r="G41" s="4"/>
    </row>
    <row r="42" spans="1:7" s="9" customFormat="1" ht="15.75" customHeight="1" thickBot="1" x14ac:dyDescent="0.25">
      <c r="A42" s="236" t="s">
        <v>193</v>
      </c>
      <c r="B42" s="269">
        <f>'9. Horários'!G24</f>
        <v>0.56818181818181823</v>
      </c>
      <c r="C42" s="32"/>
      <c r="E42" s="139"/>
      <c r="G42" s="40"/>
    </row>
    <row r="43" spans="1:7" s="2" customFormat="1" ht="15.75" customHeight="1" x14ac:dyDescent="0.2">
      <c r="A43" s="53"/>
      <c r="B43" s="53"/>
      <c r="C43" s="53"/>
      <c r="D43" s="7"/>
      <c r="E43" s="62"/>
      <c r="F43" s="7"/>
      <c r="G43" s="4"/>
    </row>
    <row r="44" spans="1:7" ht="13.15" customHeight="1" x14ac:dyDescent="0.2">
      <c r="A44" s="9" t="s">
        <v>45</v>
      </c>
    </row>
    <row r="45" spans="1:7" ht="13.9" customHeight="1" thickBot="1" x14ac:dyDescent="0.25">
      <c r="A45" s="5" t="s">
        <v>289</v>
      </c>
    </row>
    <row r="46" spans="1:7" ht="13.9" customHeight="1" thickBot="1" x14ac:dyDescent="0.25">
      <c r="A46" s="54" t="s">
        <v>60</v>
      </c>
      <c r="B46" s="55" t="s">
        <v>61</v>
      </c>
      <c r="C46" s="55" t="s">
        <v>38</v>
      </c>
      <c r="D46" s="56" t="s">
        <v>231</v>
      </c>
      <c r="E46" s="56" t="s">
        <v>62</v>
      </c>
      <c r="F46" s="57" t="s">
        <v>63</v>
      </c>
    </row>
    <row r="47" spans="1:7" ht="13.15" customHeight="1" x14ac:dyDescent="0.2">
      <c r="A47" s="11" t="s">
        <v>214</v>
      </c>
      <c r="B47" s="12" t="s">
        <v>7</v>
      </c>
      <c r="C47" s="12">
        <v>1</v>
      </c>
      <c r="D47" s="281">
        <v>1678.48</v>
      </c>
      <c r="E47" s="13">
        <f>C47*D47</f>
        <v>1678.48</v>
      </c>
    </row>
    <row r="48" spans="1:7" ht="13.15" hidden="1" customHeight="1" x14ac:dyDescent="0.2">
      <c r="A48" s="270" t="s">
        <v>6</v>
      </c>
      <c r="B48" s="271" t="s">
        <v>97</v>
      </c>
      <c r="C48" s="276">
        <v>0</v>
      </c>
      <c r="D48" s="277"/>
      <c r="E48" s="277"/>
    </row>
    <row r="49" spans="1:7" ht="13.15" hidden="1" customHeight="1" x14ac:dyDescent="0.2">
      <c r="A49" s="270"/>
      <c r="B49" s="271" t="s">
        <v>98</v>
      </c>
      <c r="C49" s="278">
        <f>C48*8/7</f>
        <v>0</v>
      </c>
      <c r="D49" s="277">
        <f>D47/220*0.2</f>
        <v>1.5258909090909092</v>
      </c>
      <c r="E49" s="277">
        <f>C48*D49</f>
        <v>0</v>
      </c>
    </row>
    <row r="50" spans="1:7" ht="13.15" hidden="1" customHeight="1" x14ac:dyDescent="0.2">
      <c r="A50" s="270" t="s">
        <v>281</v>
      </c>
      <c r="B50" s="271" t="s">
        <v>282</v>
      </c>
      <c r="C50" s="282">
        <v>0</v>
      </c>
      <c r="D50" s="279">
        <f>D47/220*2</f>
        <v>15.258909090909091</v>
      </c>
      <c r="E50" s="280">
        <f>C50*D50</f>
        <v>0</v>
      </c>
    </row>
    <row r="51" spans="1:7" x14ac:dyDescent="0.2">
      <c r="A51" s="14" t="s">
        <v>0</v>
      </c>
      <c r="B51" s="15" t="s">
        <v>1</v>
      </c>
      <c r="C51" s="15">
        <v>40</v>
      </c>
      <c r="D51" s="75">
        <f>SUM(E47:E47)</f>
        <v>1678.48</v>
      </c>
      <c r="E51" s="16">
        <f>C51*D51/100</f>
        <v>671.39199999999994</v>
      </c>
    </row>
    <row r="52" spans="1:7" x14ac:dyDescent="0.2">
      <c r="A52" s="106" t="s">
        <v>2</v>
      </c>
      <c r="B52" s="107"/>
      <c r="C52" s="107"/>
      <c r="D52" s="108"/>
      <c r="E52" s="109">
        <f>SUM(E47:E51)</f>
        <v>2349.8719999999998</v>
      </c>
    </row>
    <row r="53" spans="1:7" x14ac:dyDescent="0.2">
      <c r="A53" s="14" t="s">
        <v>3</v>
      </c>
      <c r="B53" s="15" t="s">
        <v>1</v>
      </c>
      <c r="C53" s="128">
        <f>'4.Encargos Sociais'!C34*100</f>
        <v>70.09</v>
      </c>
      <c r="D53" s="16">
        <f>E52</f>
        <v>2349.8719999999998</v>
      </c>
      <c r="E53" s="16">
        <f>D53*C53/100</f>
        <v>1647.0252848</v>
      </c>
    </row>
    <row r="54" spans="1:7" x14ac:dyDescent="0.2">
      <c r="A54" s="106" t="s">
        <v>70</v>
      </c>
      <c r="B54" s="107"/>
      <c r="C54" s="107"/>
      <c r="D54" s="108"/>
      <c r="E54" s="109">
        <f>E52+E53</f>
        <v>3996.8972847999999</v>
      </c>
    </row>
    <row r="55" spans="1:7" ht="13.5" thickBot="1" x14ac:dyDescent="0.25">
      <c r="A55" s="14" t="s">
        <v>4</v>
      </c>
      <c r="B55" s="15" t="s">
        <v>5</v>
      </c>
      <c r="C55" s="78">
        <v>3</v>
      </c>
      <c r="D55" s="16">
        <f>E54</f>
        <v>3996.8972847999999</v>
      </c>
      <c r="E55" s="16">
        <f>C55*D55</f>
        <v>11990.6918544</v>
      </c>
      <c r="G55" s="4"/>
    </row>
    <row r="56" spans="1:7" ht="13.9" customHeight="1" thickBot="1" x14ac:dyDescent="0.25">
      <c r="D56" s="112" t="s">
        <v>192</v>
      </c>
      <c r="E56" s="294">
        <f>$B$42</f>
        <v>0.56818181818181823</v>
      </c>
      <c r="F56" s="113">
        <f>E55*E56</f>
        <v>6812.8930990909093</v>
      </c>
      <c r="G56" s="4"/>
    </row>
    <row r="57" spans="1:7" ht="11.25" customHeight="1" x14ac:dyDescent="0.2"/>
    <row r="58" spans="1:7" ht="13.5" hidden="1" thickBot="1" x14ac:dyDescent="0.25">
      <c r="A58" s="7" t="s">
        <v>87</v>
      </c>
    </row>
    <row r="59" spans="1:7" ht="13.5" hidden="1" thickBot="1" x14ac:dyDescent="0.25">
      <c r="A59" s="54" t="s">
        <v>60</v>
      </c>
      <c r="B59" s="55" t="s">
        <v>61</v>
      </c>
      <c r="C59" s="55" t="s">
        <v>38</v>
      </c>
      <c r="D59" s="56" t="s">
        <v>231</v>
      </c>
      <c r="E59" s="56" t="s">
        <v>62</v>
      </c>
      <c r="F59" s="57" t="s">
        <v>63</v>
      </c>
    </row>
    <row r="60" spans="1:7" hidden="1" x14ac:dyDescent="0.2">
      <c r="A60" s="11" t="s">
        <v>214</v>
      </c>
      <c r="B60" s="12" t="s">
        <v>7</v>
      </c>
      <c r="C60" s="12">
        <v>1</v>
      </c>
      <c r="D60" s="13">
        <f>D47</f>
        <v>1678.48</v>
      </c>
      <c r="E60" s="13">
        <f>C60*D60</f>
        <v>1678.48</v>
      </c>
    </row>
    <row r="61" spans="1:7" hidden="1" x14ac:dyDescent="0.2">
      <c r="A61" s="14" t="s">
        <v>6</v>
      </c>
      <c r="B61" s="15" t="s">
        <v>97</v>
      </c>
      <c r="C61" s="80"/>
      <c r="D61" s="16"/>
      <c r="E61" s="16"/>
    </row>
    <row r="62" spans="1:7" hidden="1" x14ac:dyDescent="0.2">
      <c r="A62" s="14"/>
      <c r="B62" s="15" t="s">
        <v>98</v>
      </c>
      <c r="C62" s="110">
        <f>C61*8/7</f>
        <v>0</v>
      </c>
      <c r="D62" s="16">
        <f>D60/220*0.2</f>
        <v>1.5258909090909092</v>
      </c>
      <c r="E62" s="16">
        <f>C61*D62</f>
        <v>0</v>
      </c>
    </row>
    <row r="63" spans="1:7" hidden="1" x14ac:dyDescent="0.2">
      <c r="A63" s="14" t="s">
        <v>0</v>
      </c>
      <c r="B63" s="15" t="s">
        <v>1</v>
      </c>
      <c r="C63" s="15">
        <f>+C51</f>
        <v>40</v>
      </c>
      <c r="D63" s="75">
        <f>SUM(E60:E62)</f>
        <v>1678.48</v>
      </c>
      <c r="E63" s="16">
        <f>C63*D63/100</f>
        <v>671.39199999999994</v>
      </c>
    </row>
    <row r="64" spans="1:7" hidden="1" x14ac:dyDescent="0.2">
      <c r="A64" s="106" t="s">
        <v>2</v>
      </c>
      <c r="B64" s="107"/>
      <c r="C64" s="107"/>
      <c r="D64" s="108"/>
      <c r="E64" s="109">
        <f>SUM(E60:E63)</f>
        <v>2349.8719999999998</v>
      </c>
    </row>
    <row r="65" spans="1:7" hidden="1" x14ac:dyDescent="0.2">
      <c r="A65" s="14" t="s">
        <v>3</v>
      </c>
      <c r="B65" s="15" t="s">
        <v>1</v>
      </c>
      <c r="C65" s="128">
        <f>'4.Encargos Sociais'!$C$34*100</f>
        <v>70.09</v>
      </c>
      <c r="D65" s="16">
        <f>E64</f>
        <v>2349.8719999999998</v>
      </c>
      <c r="E65" s="16">
        <f>D65*C65/100</f>
        <v>1647.0252848</v>
      </c>
    </row>
    <row r="66" spans="1:7" hidden="1" x14ac:dyDescent="0.2">
      <c r="A66" s="106" t="s">
        <v>70</v>
      </c>
      <c r="B66" s="107"/>
      <c r="C66" s="107"/>
      <c r="D66" s="108"/>
      <c r="E66" s="109">
        <f>E64+E65</f>
        <v>3996.8972847999999</v>
      </c>
    </row>
    <row r="67" spans="1:7" ht="13.5" hidden="1" thickBot="1" x14ac:dyDescent="0.25">
      <c r="A67" s="14" t="s">
        <v>4</v>
      </c>
      <c r="B67" s="15" t="s">
        <v>5</v>
      </c>
      <c r="C67" s="78"/>
      <c r="D67" s="16">
        <f>E66</f>
        <v>3996.8972847999999</v>
      </c>
      <c r="E67" s="16">
        <f>C67*D67</f>
        <v>0</v>
      </c>
    </row>
    <row r="68" spans="1:7" ht="13.5" hidden="1" thickBot="1" x14ac:dyDescent="0.25">
      <c r="D68" s="112" t="s">
        <v>192</v>
      </c>
      <c r="E68" s="46">
        <f>$B$42</f>
        <v>0.56818181818181823</v>
      </c>
      <c r="F68" s="113">
        <f>E67*E68</f>
        <v>0</v>
      </c>
    </row>
    <row r="69" spans="1:7" ht="11.25" hidden="1" customHeight="1" x14ac:dyDescent="0.2"/>
    <row r="70" spans="1:7" ht="13.5" thickBot="1" x14ac:dyDescent="0.25">
      <c r="A70" s="5" t="s">
        <v>293</v>
      </c>
    </row>
    <row r="71" spans="1:7" s="10" customFormat="1" ht="13.15" customHeight="1" thickBot="1" x14ac:dyDescent="0.25">
      <c r="A71" s="54" t="s">
        <v>60</v>
      </c>
      <c r="B71" s="55" t="s">
        <v>61</v>
      </c>
      <c r="C71" s="55" t="s">
        <v>38</v>
      </c>
      <c r="D71" s="56" t="s">
        <v>231</v>
      </c>
      <c r="E71" s="56" t="s">
        <v>62</v>
      </c>
      <c r="F71" s="57" t="s">
        <v>63</v>
      </c>
      <c r="G71" s="8"/>
    </row>
    <row r="72" spans="1:7" x14ac:dyDescent="0.2">
      <c r="A72" s="11" t="s">
        <v>216</v>
      </c>
      <c r="B72" s="12" t="s">
        <v>7</v>
      </c>
      <c r="C72" s="12">
        <v>1</v>
      </c>
      <c r="D72" s="79">
        <v>2251.4899999999998</v>
      </c>
      <c r="E72" s="13">
        <f>C72*D72</f>
        <v>2251.4899999999998</v>
      </c>
    </row>
    <row r="73" spans="1:7" x14ac:dyDescent="0.2">
      <c r="A73" s="11" t="s">
        <v>217</v>
      </c>
      <c r="B73" s="12" t="s">
        <v>7</v>
      </c>
      <c r="C73" s="12">
        <v>1</v>
      </c>
      <c r="D73" s="79">
        <v>1320</v>
      </c>
      <c r="E73" s="13"/>
    </row>
    <row r="74" spans="1:7" x14ac:dyDescent="0.2">
      <c r="A74" s="14" t="s">
        <v>215</v>
      </c>
      <c r="B74" s="15"/>
      <c r="C74" s="78">
        <v>1</v>
      </c>
      <c r="D74" s="16"/>
      <c r="E74" s="16"/>
    </row>
    <row r="75" spans="1:7" x14ac:dyDescent="0.2">
      <c r="A75" s="14" t="s">
        <v>0</v>
      </c>
      <c r="B75" s="15" t="s">
        <v>1</v>
      </c>
      <c r="C75" s="78">
        <v>40</v>
      </c>
      <c r="D75" s="75">
        <f>IF(C74=2,SUM(E72:E73),IF(C74=1,(SUM(E72:E73))*D73/D72,0))</f>
        <v>1320</v>
      </c>
      <c r="E75" s="16">
        <f>C75*D75/100</f>
        <v>528</v>
      </c>
    </row>
    <row r="76" spans="1:7" hidden="1" x14ac:dyDescent="0.2">
      <c r="A76" s="270" t="s">
        <v>6</v>
      </c>
      <c r="B76" s="271" t="s">
        <v>97</v>
      </c>
      <c r="C76" s="276">
        <v>0</v>
      </c>
      <c r="D76" s="277"/>
      <c r="E76" s="277"/>
    </row>
    <row r="77" spans="1:7" hidden="1" x14ac:dyDescent="0.2">
      <c r="A77" s="270"/>
      <c r="B77" s="271" t="s">
        <v>98</v>
      </c>
      <c r="C77" s="278">
        <f>C76*8/7</f>
        <v>0</v>
      </c>
      <c r="D77" s="277">
        <f>D72/220*0.2</f>
        <v>2.046809090909091</v>
      </c>
      <c r="E77" s="277">
        <f>C76*D77</f>
        <v>0</v>
      </c>
    </row>
    <row r="78" spans="1:7" hidden="1" x14ac:dyDescent="0.2">
      <c r="A78" s="270" t="s">
        <v>281</v>
      </c>
      <c r="B78" s="271" t="s">
        <v>282</v>
      </c>
      <c r="C78" s="282">
        <v>0</v>
      </c>
      <c r="D78" s="279">
        <f>D72/220*2</f>
        <v>20.468090909090908</v>
      </c>
      <c r="E78" s="277">
        <f>C78*D78</f>
        <v>0</v>
      </c>
    </row>
    <row r="79" spans="1:7" s="9" customFormat="1" x14ac:dyDescent="0.2">
      <c r="A79" s="93" t="s">
        <v>2</v>
      </c>
      <c r="B79" s="107"/>
      <c r="C79" s="107"/>
      <c r="D79" s="108"/>
      <c r="E79" s="95">
        <f>SUM(E72:E78)</f>
        <v>2779.49</v>
      </c>
      <c r="F79" s="40"/>
      <c r="G79" s="40"/>
    </row>
    <row r="80" spans="1:7" x14ac:dyDescent="0.2">
      <c r="A80" s="14" t="s">
        <v>3</v>
      </c>
      <c r="B80" s="15" t="s">
        <v>1</v>
      </c>
      <c r="C80" s="128">
        <f>'4.Encargos Sociais'!C34*100</f>
        <v>70.09</v>
      </c>
      <c r="D80" s="16">
        <f>E79</f>
        <v>2779.49</v>
      </c>
      <c r="E80" s="16">
        <f>D80*C80/100</f>
        <v>1948.1445410000001</v>
      </c>
    </row>
    <row r="81" spans="1:7" s="9" customFormat="1" x14ac:dyDescent="0.2">
      <c r="A81" s="93" t="s">
        <v>246</v>
      </c>
      <c r="B81" s="242"/>
      <c r="C81" s="242"/>
      <c r="D81" s="243"/>
      <c r="E81" s="95">
        <f>E79+E80</f>
        <v>4727.6345409999994</v>
      </c>
      <c r="F81" s="40"/>
      <c r="G81" s="40"/>
    </row>
    <row r="82" spans="1:7" ht="13.5" thickBot="1" x14ac:dyDescent="0.25">
      <c r="A82" s="14" t="s">
        <v>4</v>
      </c>
      <c r="B82" s="15" t="s">
        <v>5</v>
      </c>
      <c r="C82" s="78">
        <v>1</v>
      </c>
      <c r="D82" s="16">
        <f>E81</f>
        <v>4727.6345409999994</v>
      </c>
      <c r="E82" s="16">
        <f>C82*D82</f>
        <v>4727.6345409999994</v>
      </c>
    </row>
    <row r="83" spans="1:7" ht="13.5" thickBot="1" x14ac:dyDescent="0.25">
      <c r="D83" s="112" t="s">
        <v>192</v>
      </c>
      <c r="E83" s="294">
        <f>'9. Horários'!G36</f>
        <v>1</v>
      </c>
      <c r="F83" s="113">
        <f>E82*E83</f>
        <v>4727.6345409999994</v>
      </c>
    </row>
    <row r="84" spans="1:7" ht="11.25" customHeight="1" x14ac:dyDescent="0.2"/>
    <row r="85" spans="1:7" ht="13.5" thickBot="1" x14ac:dyDescent="0.25">
      <c r="A85" s="5" t="s">
        <v>294</v>
      </c>
    </row>
    <row r="86" spans="1:7" ht="13.5" thickBot="1" x14ac:dyDescent="0.25">
      <c r="A86" s="54" t="s">
        <v>60</v>
      </c>
      <c r="B86" s="55" t="s">
        <v>61</v>
      </c>
      <c r="C86" s="55" t="s">
        <v>38</v>
      </c>
      <c r="D86" s="56" t="s">
        <v>231</v>
      </c>
      <c r="E86" s="56" t="s">
        <v>62</v>
      </c>
      <c r="F86" s="57" t="s">
        <v>63</v>
      </c>
    </row>
    <row r="87" spans="1:7" x14ac:dyDescent="0.2">
      <c r="A87" s="11" t="s">
        <v>214</v>
      </c>
      <c r="B87" s="12" t="s">
        <v>7</v>
      </c>
      <c r="C87" s="12">
        <v>1</v>
      </c>
      <c r="D87" s="79">
        <v>2300</v>
      </c>
      <c r="E87" s="13">
        <f>C87*D87</f>
        <v>2300</v>
      </c>
    </row>
    <row r="88" spans="1:7" s="9" customFormat="1" x14ac:dyDescent="0.2">
      <c r="A88" s="106" t="s">
        <v>2</v>
      </c>
      <c r="B88" s="107"/>
      <c r="C88" s="107"/>
      <c r="D88" s="108"/>
      <c r="E88" s="109">
        <f>SUM(E87:E87)</f>
        <v>2300</v>
      </c>
      <c r="F88" s="40"/>
      <c r="G88" s="40"/>
    </row>
    <row r="89" spans="1:7" x14ac:dyDescent="0.2">
      <c r="A89" s="14" t="s">
        <v>3</v>
      </c>
      <c r="B89" s="15" t="s">
        <v>1</v>
      </c>
      <c r="C89" s="128">
        <f>'4.Encargos Sociais'!C34*100</f>
        <v>70.09</v>
      </c>
      <c r="D89" s="16">
        <f>E88</f>
        <v>2300</v>
      </c>
      <c r="E89" s="16">
        <f>D89*C89/100</f>
        <v>1612.07</v>
      </c>
    </row>
    <row r="90" spans="1:7" s="9" customFormat="1" x14ac:dyDescent="0.2">
      <c r="A90" s="106" t="s">
        <v>246</v>
      </c>
      <c r="B90" s="107"/>
      <c r="C90" s="107"/>
      <c r="D90" s="108"/>
      <c r="E90" s="109">
        <f>E88+E89</f>
        <v>3912.0699999999997</v>
      </c>
      <c r="F90" s="40"/>
      <c r="G90" s="40"/>
    </row>
    <row r="91" spans="1:7" ht="13.5" thickBot="1" x14ac:dyDescent="0.25">
      <c r="A91" s="14" t="s">
        <v>4</v>
      </c>
      <c r="B91" s="15" t="s">
        <v>5</v>
      </c>
      <c r="C91" s="78">
        <v>1</v>
      </c>
      <c r="D91" s="16">
        <f>E90</f>
        <v>3912.0699999999997</v>
      </c>
      <c r="E91" s="16">
        <f>C91*D91</f>
        <v>3912.0699999999997</v>
      </c>
    </row>
    <row r="92" spans="1:7" ht="13.5" thickBot="1" x14ac:dyDescent="0.25">
      <c r="D92" s="112" t="s">
        <v>192</v>
      </c>
      <c r="E92" s="294">
        <f>10/44</f>
        <v>0.22727272727272727</v>
      </c>
      <c r="F92" s="113">
        <f>E91*E92</f>
        <v>889.10681818181808</v>
      </c>
    </row>
    <row r="93" spans="1:7" ht="11.25" customHeight="1" x14ac:dyDescent="0.2">
      <c r="G93" s="7"/>
    </row>
    <row r="94" spans="1:7" ht="13.5" thickBot="1" x14ac:dyDescent="0.25">
      <c r="A94" s="5" t="s">
        <v>297</v>
      </c>
      <c r="B94" s="84"/>
      <c r="D94" s="7"/>
      <c r="E94" s="7"/>
      <c r="G94" s="7"/>
    </row>
    <row r="95" spans="1:7" ht="13.5" thickBot="1" x14ac:dyDescent="0.25">
      <c r="A95" s="54" t="s">
        <v>60</v>
      </c>
      <c r="B95" s="55" t="s">
        <v>61</v>
      </c>
      <c r="C95" s="55" t="s">
        <v>38</v>
      </c>
      <c r="D95" s="56" t="s">
        <v>231</v>
      </c>
      <c r="E95" s="56" t="s">
        <v>62</v>
      </c>
      <c r="F95" s="57" t="s">
        <v>63</v>
      </c>
      <c r="G95" s="7"/>
    </row>
    <row r="96" spans="1:7" x14ac:dyDescent="0.2">
      <c r="A96" s="14" t="s">
        <v>88</v>
      </c>
      <c r="B96" s="15" t="s">
        <v>33</v>
      </c>
      <c r="C96" s="85">
        <v>1</v>
      </c>
      <c r="D96" s="83">
        <v>3.8</v>
      </c>
      <c r="E96" s="16"/>
      <c r="G96" s="7"/>
    </row>
    <row r="97" spans="1:7" x14ac:dyDescent="0.2">
      <c r="A97" s="14" t="s">
        <v>89</v>
      </c>
      <c r="B97" s="15" t="s">
        <v>90</v>
      </c>
      <c r="C97" s="82">
        <v>19</v>
      </c>
      <c r="D97" s="16"/>
      <c r="E97" s="16"/>
      <c r="G97" s="77"/>
    </row>
    <row r="98" spans="1:7" x14ac:dyDescent="0.2">
      <c r="A98" s="14" t="s">
        <v>71</v>
      </c>
      <c r="B98" s="15" t="s">
        <v>8</v>
      </c>
      <c r="C98" s="34">
        <f>C55*C97*2</f>
        <v>114</v>
      </c>
      <c r="D98" s="13">
        <f>D96-((E47*0.06)/42)</f>
        <v>1.4021714285714286</v>
      </c>
      <c r="E98" s="16">
        <f>IFERROR(C98*D98,"-")</f>
        <v>159.84754285714286</v>
      </c>
      <c r="G98" s="77"/>
    </row>
    <row r="99" spans="1:7" ht="13.5" thickBot="1" x14ac:dyDescent="0.25">
      <c r="A99" s="11" t="s">
        <v>42</v>
      </c>
      <c r="B99" s="12" t="s">
        <v>8</v>
      </c>
      <c r="C99" s="34">
        <f>C82*C97*2</f>
        <v>38</v>
      </c>
      <c r="D99" s="13">
        <f>D96-((E72*0.06)/42)</f>
        <v>0.58358571428571437</v>
      </c>
      <c r="E99" s="13">
        <f>IFERROR(C99*D99,"-")</f>
        <v>22.176257142857146</v>
      </c>
      <c r="G99" s="77"/>
    </row>
    <row r="100" spans="1:7" ht="13.5" thickBot="1" x14ac:dyDescent="0.25">
      <c r="F100" s="20">
        <f>SUM(E98:E99)</f>
        <v>182.02379999999999</v>
      </c>
      <c r="G100" s="7"/>
    </row>
    <row r="101" spans="1:7" ht="11.25" customHeight="1" x14ac:dyDescent="0.2">
      <c r="G101" s="7"/>
    </row>
    <row r="102" spans="1:7" ht="13.5" thickBot="1" x14ac:dyDescent="0.25">
      <c r="A102" s="5" t="s">
        <v>298</v>
      </c>
      <c r="F102" s="21"/>
      <c r="G102" s="7"/>
    </row>
    <row r="103" spans="1:7" ht="13.5" thickBot="1" x14ac:dyDescent="0.25">
      <c r="A103" s="54" t="s">
        <v>60</v>
      </c>
      <c r="B103" s="55" t="s">
        <v>61</v>
      </c>
      <c r="C103" s="55" t="s">
        <v>38</v>
      </c>
      <c r="D103" s="56" t="s">
        <v>231</v>
      </c>
      <c r="E103" s="56" t="s">
        <v>62</v>
      </c>
      <c r="F103" s="57" t="s">
        <v>63</v>
      </c>
      <c r="G103" s="7"/>
    </row>
    <row r="104" spans="1:7" x14ac:dyDescent="0.2">
      <c r="A104" s="14" t="str">
        <f>+A98</f>
        <v>Coletor</v>
      </c>
      <c r="B104" s="15" t="s">
        <v>9</v>
      </c>
      <c r="C104" s="92">
        <f>C97*(E33+E34)</f>
        <v>57</v>
      </c>
      <c r="D104" s="295">
        <f>22*0.81</f>
        <v>17.82</v>
      </c>
      <c r="E104" s="46">
        <f>C104*D104</f>
        <v>1015.74</v>
      </c>
      <c r="F104" s="21"/>
      <c r="G104" s="7"/>
    </row>
    <row r="105" spans="1:7" ht="13.5" thickBot="1" x14ac:dyDescent="0.25">
      <c r="A105" s="14" t="str">
        <f>+A99</f>
        <v>Motorista</v>
      </c>
      <c r="B105" s="15" t="s">
        <v>9</v>
      </c>
      <c r="C105" s="92">
        <f>C97</f>
        <v>19</v>
      </c>
      <c r="D105" s="81">
        <f>16*0.8</f>
        <v>12.8</v>
      </c>
      <c r="E105" s="46">
        <f>C105*D105</f>
        <v>243.20000000000002</v>
      </c>
      <c r="F105" s="21"/>
      <c r="G105" s="7"/>
    </row>
    <row r="106" spans="1:7" ht="13.5" thickBot="1" x14ac:dyDescent="0.25">
      <c r="F106" s="20">
        <f>SUM(E104:E105)</f>
        <v>1258.94</v>
      </c>
      <c r="G106" s="7"/>
    </row>
    <row r="107" spans="1:7" x14ac:dyDescent="0.2">
      <c r="G107" s="7"/>
    </row>
    <row r="108" spans="1:7" ht="13.5" thickBot="1" x14ac:dyDescent="0.25">
      <c r="A108" s="5" t="s">
        <v>299</v>
      </c>
      <c r="F108" s="21"/>
      <c r="G108" s="7"/>
    </row>
    <row r="109" spans="1:7" ht="13.5" thickBot="1" x14ac:dyDescent="0.25">
      <c r="A109" s="54" t="s">
        <v>60</v>
      </c>
      <c r="B109" s="55" t="s">
        <v>61</v>
      </c>
      <c r="C109" s="55" t="s">
        <v>38</v>
      </c>
      <c r="D109" s="56" t="s">
        <v>231</v>
      </c>
      <c r="E109" s="56" t="s">
        <v>62</v>
      </c>
      <c r="F109" s="57" t="s">
        <v>63</v>
      </c>
      <c r="G109" s="7"/>
    </row>
    <row r="110" spans="1:7" hidden="1" x14ac:dyDescent="0.2">
      <c r="A110" s="14" t="str">
        <f>+A104</f>
        <v>Coletor</v>
      </c>
      <c r="B110" s="15" t="s">
        <v>9</v>
      </c>
      <c r="C110" s="92">
        <v>0</v>
      </c>
      <c r="D110" s="81"/>
      <c r="E110" s="46">
        <f>C110*D110</f>
        <v>0</v>
      </c>
      <c r="F110" s="21"/>
      <c r="G110" s="7"/>
    </row>
    <row r="111" spans="1:7" ht="13.5" thickBot="1" x14ac:dyDescent="0.25">
      <c r="A111" s="14" t="str">
        <f>+A105</f>
        <v>Motorista</v>
      </c>
      <c r="B111" s="15" t="s">
        <v>9</v>
      </c>
      <c r="C111" s="92">
        <v>1</v>
      </c>
      <c r="D111" s="81">
        <f>121.43*0.8</f>
        <v>97.144000000000005</v>
      </c>
      <c r="E111" s="46">
        <f>C111*D111</f>
        <v>97.144000000000005</v>
      </c>
      <c r="F111" s="21"/>
      <c r="G111" s="7"/>
    </row>
    <row r="112" spans="1:7" ht="13.5" thickBot="1" x14ac:dyDescent="0.25">
      <c r="D112" s="112" t="s">
        <v>192</v>
      </c>
      <c r="E112" s="46">
        <f>E83</f>
        <v>1</v>
      </c>
      <c r="F112" s="20">
        <f>SUM(E110:E111)*E112</f>
        <v>97.144000000000005</v>
      </c>
      <c r="G112" s="7"/>
    </row>
    <row r="113" spans="1:7" ht="13.5" thickBot="1" x14ac:dyDescent="0.25">
      <c r="A113" s="5" t="s">
        <v>300</v>
      </c>
      <c r="B113" s="5"/>
      <c r="C113" s="5"/>
      <c r="D113" s="296"/>
      <c r="E113" s="296"/>
      <c r="F113" s="21"/>
      <c r="G113" s="7"/>
    </row>
    <row r="114" spans="1:7" ht="13.5" thickBot="1" x14ac:dyDescent="0.25">
      <c r="A114" s="54" t="s">
        <v>60</v>
      </c>
      <c r="B114" s="55" t="s">
        <v>61</v>
      </c>
      <c r="C114" s="55" t="s">
        <v>38</v>
      </c>
      <c r="D114" s="56" t="s">
        <v>231</v>
      </c>
      <c r="E114" s="56" t="s">
        <v>62</v>
      </c>
      <c r="F114" s="57" t="s">
        <v>63</v>
      </c>
      <c r="G114" s="7"/>
    </row>
    <row r="115" spans="1:7" ht="13.5" thickBot="1" x14ac:dyDescent="0.25">
      <c r="A115" s="270" t="s">
        <v>301</v>
      </c>
      <c r="B115" s="271" t="s">
        <v>9</v>
      </c>
      <c r="C115" s="297">
        <f>C55</f>
        <v>3</v>
      </c>
      <c r="D115" s="298">
        <v>18.5</v>
      </c>
      <c r="E115" s="299">
        <f>C115*D115</f>
        <v>55.5</v>
      </c>
      <c r="F115" s="21"/>
      <c r="G115" s="7"/>
    </row>
    <row r="116" spans="1:7" ht="13.5" thickBot="1" x14ac:dyDescent="0.25">
      <c r="A116" s="300"/>
      <c r="B116" s="300"/>
      <c r="C116" s="5"/>
      <c r="D116" s="301" t="s">
        <v>302</v>
      </c>
      <c r="E116" s="302">
        <f>E35</f>
        <v>1</v>
      </c>
      <c r="F116" s="303">
        <f>SUM(E115:E115)*E116</f>
        <v>55.5</v>
      </c>
      <c r="G116" s="7"/>
    </row>
    <row r="117" spans="1:7" ht="13.5" thickBot="1" x14ac:dyDescent="0.25">
      <c r="G117" s="7"/>
    </row>
    <row r="118" spans="1:7" ht="13.5" thickBot="1" x14ac:dyDescent="0.25">
      <c r="A118" s="22" t="s">
        <v>91</v>
      </c>
      <c r="B118" s="23"/>
      <c r="C118" s="23"/>
      <c r="D118" s="24"/>
      <c r="E118" s="25"/>
      <c r="F118" s="20">
        <f>F112+F106+F100+F92+F83+F68+F56+F116</f>
        <v>14023.242258272727</v>
      </c>
      <c r="G118" s="7"/>
    </row>
    <row r="120" spans="1:7" x14ac:dyDescent="0.2">
      <c r="A120" s="9" t="s">
        <v>43</v>
      </c>
      <c r="G120" s="7"/>
    </row>
    <row r="121" spans="1:7" ht="13.9" customHeight="1" x14ac:dyDescent="0.2">
      <c r="A121" s="9" t="s">
        <v>194</v>
      </c>
      <c r="G121" s="7"/>
    </row>
    <row r="122" spans="1:7" ht="11.25" customHeight="1" thickBot="1" x14ac:dyDescent="0.25">
      <c r="G122" s="7"/>
    </row>
    <row r="123" spans="1:7" ht="27.75" customHeight="1" thickBot="1" x14ac:dyDescent="0.25">
      <c r="A123" s="54" t="s">
        <v>60</v>
      </c>
      <c r="B123" s="55" t="s">
        <v>61</v>
      </c>
      <c r="C123" s="244" t="s">
        <v>248</v>
      </c>
      <c r="D123" s="56" t="s">
        <v>231</v>
      </c>
      <c r="E123" s="56" t="s">
        <v>62</v>
      </c>
      <c r="F123" s="57" t="s">
        <v>63</v>
      </c>
      <c r="G123" s="7"/>
    </row>
    <row r="124" spans="1:7" x14ac:dyDescent="0.2">
      <c r="A124" s="293" t="s">
        <v>64</v>
      </c>
      <c r="B124" s="316" t="s">
        <v>9</v>
      </c>
      <c r="C124" s="472">
        <v>12</v>
      </c>
      <c r="D124" s="281">
        <v>150</v>
      </c>
      <c r="E124" s="317">
        <f>IFERROR(D124/C124,0)</f>
        <v>12.5</v>
      </c>
      <c r="G124" s="7"/>
    </row>
    <row r="125" spans="1:7" ht="13.15" customHeight="1" x14ac:dyDescent="0.2">
      <c r="A125" s="270" t="s">
        <v>29</v>
      </c>
      <c r="B125" s="271" t="s">
        <v>9</v>
      </c>
      <c r="C125" s="472">
        <v>4</v>
      </c>
      <c r="D125" s="473">
        <v>65</v>
      </c>
      <c r="E125" s="317">
        <f t="shared" ref="E125:E133" si="1">IFERROR(D125/C125,0)</f>
        <v>16.25</v>
      </c>
      <c r="G125" s="7"/>
    </row>
    <row r="126" spans="1:7" x14ac:dyDescent="0.2">
      <c r="A126" s="270" t="s">
        <v>442</v>
      </c>
      <c r="B126" s="271" t="s">
        <v>9</v>
      </c>
      <c r="C126" s="472">
        <v>4</v>
      </c>
      <c r="D126" s="473">
        <v>28</v>
      </c>
      <c r="E126" s="317">
        <f t="shared" si="1"/>
        <v>7</v>
      </c>
      <c r="G126" s="7"/>
    </row>
    <row r="127" spans="1:7" x14ac:dyDescent="0.2">
      <c r="A127" s="270" t="s">
        <v>443</v>
      </c>
      <c r="B127" s="271" t="s">
        <v>9</v>
      </c>
      <c r="C127" s="472">
        <v>3</v>
      </c>
      <c r="D127" s="473">
        <v>26</v>
      </c>
      <c r="E127" s="317">
        <f t="shared" si="1"/>
        <v>8.6666666666666661</v>
      </c>
      <c r="G127" s="7"/>
    </row>
    <row r="128" spans="1:7" x14ac:dyDescent="0.2">
      <c r="A128" s="270" t="s">
        <v>444</v>
      </c>
      <c r="B128" s="271" t="s">
        <v>9</v>
      </c>
      <c r="C128" s="472">
        <v>3</v>
      </c>
      <c r="D128" s="473">
        <v>30</v>
      </c>
      <c r="E128" s="317">
        <f t="shared" si="1"/>
        <v>10</v>
      </c>
      <c r="G128" s="7"/>
    </row>
    <row r="129" spans="1:7" x14ac:dyDescent="0.2">
      <c r="A129" s="270" t="s">
        <v>30</v>
      </c>
      <c r="B129" s="271" t="s">
        <v>9</v>
      </c>
      <c r="C129" s="472">
        <v>4</v>
      </c>
      <c r="D129" s="473">
        <v>18</v>
      </c>
      <c r="E129" s="317">
        <f t="shared" si="1"/>
        <v>4.5</v>
      </c>
      <c r="G129" s="7"/>
    </row>
    <row r="130" spans="1:7" ht="13.15" customHeight="1" x14ac:dyDescent="0.2">
      <c r="A130" s="270" t="s">
        <v>445</v>
      </c>
      <c r="B130" s="271" t="s">
        <v>46</v>
      </c>
      <c r="C130" s="472">
        <v>4</v>
      </c>
      <c r="D130" s="473">
        <v>65</v>
      </c>
      <c r="E130" s="317">
        <f t="shared" si="1"/>
        <v>16.25</v>
      </c>
      <c r="G130" s="7"/>
    </row>
    <row r="131" spans="1:7" ht="13.9" customHeight="1" x14ac:dyDescent="0.2">
      <c r="A131" s="270" t="s">
        <v>92</v>
      </c>
      <c r="B131" s="271" t="s">
        <v>46</v>
      </c>
      <c r="C131" s="472">
        <v>2</v>
      </c>
      <c r="D131" s="473">
        <v>10</v>
      </c>
      <c r="E131" s="317">
        <f t="shared" si="1"/>
        <v>5</v>
      </c>
      <c r="G131" s="7"/>
    </row>
    <row r="132" spans="1:7" ht="13.15" customHeight="1" x14ac:dyDescent="0.2">
      <c r="A132" s="270" t="s">
        <v>65</v>
      </c>
      <c r="B132" s="271" t="s">
        <v>9</v>
      </c>
      <c r="C132" s="472">
        <v>6</v>
      </c>
      <c r="D132" s="473">
        <v>67</v>
      </c>
      <c r="E132" s="317">
        <f t="shared" si="1"/>
        <v>11.166666666666666</v>
      </c>
    </row>
    <row r="133" spans="1:7" x14ac:dyDescent="0.2">
      <c r="A133" s="474" t="s">
        <v>10</v>
      </c>
      <c r="B133" s="475" t="s">
        <v>9</v>
      </c>
      <c r="C133" s="472">
        <v>4</v>
      </c>
      <c r="D133" s="473">
        <v>20</v>
      </c>
      <c r="E133" s="317">
        <f t="shared" si="1"/>
        <v>5</v>
      </c>
    </row>
    <row r="134" spans="1:7" x14ac:dyDescent="0.2">
      <c r="A134" s="14" t="s">
        <v>31</v>
      </c>
      <c r="B134" s="15" t="s">
        <v>46</v>
      </c>
      <c r="C134" s="91">
        <v>0.5</v>
      </c>
      <c r="D134" s="79">
        <v>12</v>
      </c>
      <c r="E134" s="13">
        <f t="shared" ref="E134:E135" si="2">IFERROR(D134/C134,0)</f>
        <v>24</v>
      </c>
    </row>
    <row r="135" spans="1:7" x14ac:dyDescent="0.2">
      <c r="A135" s="14" t="s">
        <v>59</v>
      </c>
      <c r="B135" s="15" t="s">
        <v>47</v>
      </c>
      <c r="C135" s="472">
        <v>2</v>
      </c>
      <c r="D135" s="79">
        <v>20</v>
      </c>
      <c r="E135" s="13">
        <f t="shared" si="2"/>
        <v>10</v>
      </c>
    </row>
    <row r="136" spans="1:7" ht="13.5" thickBot="1" x14ac:dyDescent="0.25">
      <c r="A136" s="14" t="s">
        <v>4</v>
      </c>
      <c r="B136" s="15" t="s">
        <v>5</v>
      </c>
      <c r="C136" s="63">
        <f>C55</f>
        <v>3</v>
      </c>
      <c r="D136" s="16">
        <f>+SUM(E124:E135)</f>
        <v>130.33333333333331</v>
      </c>
      <c r="E136" s="16">
        <f t="shared" ref="E136" si="3">C136*D136</f>
        <v>390.99999999999994</v>
      </c>
    </row>
    <row r="137" spans="1:7" ht="13.5" thickBot="1" x14ac:dyDescent="0.25">
      <c r="D137" s="112" t="s">
        <v>192</v>
      </c>
      <c r="E137" s="294">
        <f>$B$42</f>
        <v>0.56818181818181823</v>
      </c>
      <c r="F137" s="113">
        <f>E136*E137</f>
        <v>222.15909090909091</v>
      </c>
    </row>
    <row r="138" spans="1:7" ht="11.25" customHeight="1" x14ac:dyDescent="0.2"/>
    <row r="139" spans="1:7" ht="13.9" customHeight="1" x14ac:dyDescent="0.2">
      <c r="A139" s="7" t="s">
        <v>195</v>
      </c>
    </row>
    <row r="140" spans="1:7" ht="11.25" customHeight="1" thickBot="1" x14ac:dyDescent="0.25"/>
    <row r="141" spans="1:7" ht="24.75" thickBot="1" x14ac:dyDescent="0.25">
      <c r="A141" s="54" t="s">
        <v>60</v>
      </c>
      <c r="B141" s="55" t="s">
        <v>61</v>
      </c>
      <c r="C141" s="244" t="s">
        <v>248</v>
      </c>
      <c r="D141" s="56" t="s">
        <v>231</v>
      </c>
      <c r="E141" s="56" t="s">
        <v>62</v>
      </c>
      <c r="F141" s="57" t="s">
        <v>63</v>
      </c>
    </row>
    <row r="142" spans="1:7" x14ac:dyDescent="0.2">
      <c r="A142" s="11" t="s">
        <v>64</v>
      </c>
      <c r="B142" s="12" t="s">
        <v>9</v>
      </c>
      <c r="C142" s="472">
        <f>C124</f>
        <v>12</v>
      </c>
      <c r="D142" s="13">
        <f>+D124</f>
        <v>150</v>
      </c>
      <c r="E142" s="13">
        <f>IFERROR(D142/C142,0)</f>
        <v>12.5</v>
      </c>
    </row>
    <row r="143" spans="1:7" x14ac:dyDescent="0.2">
      <c r="A143" s="14" t="s">
        <v>29</v>
      </c>
      <c r="B143" s="15" t="s">
        <v>9</v>
      </c>
      <c r="C143" s="472">
        <f>C125</f>
        <v>4</v>
      </c>
      <c r="D143" s="16">
        <f>+D125</f>
        <v>65</v>
      </c>
      <c r="E143" s="13">
        <f t="shared" ref="E143:E148" si="4">IFERROR(D143/C143,0)</f>
        <v>16.25</v>
      </c>
    </row>
    <row r="144" spans="1:7" x14ac:dyDescent="0.2">
      <c r="A144" s="270" t="s">
        <v>443</v>
      </c>
      <c r="B144" s="271" t="s">
        <v>9</v>
      </c>
      <c r="C144" s="472">
        <v>3</v>
      </c>
      <c r="D144" s="16">
        <f>D127</f>
        <v>26</v>
      </c>
      <c r="E144" s="13">
        <f t="shared" ref="E144:E145" si="5">IFERROR(D144/C144,0)</f>
        <v>8.6666666666666661</v>
      </c>
    </row>
    <row r="145" spans="1:10" x14ac:dyDescent="0.2">
      <c r="A145" s="270" t="s">
        <v>444</v>
      </c>
      <c r="B145" s="271" t="s">
        <v>9</v>
      </c>
      <c r="C145" s="472">
        <v>3</v>
      </c>
      <c r="D145" s="16">
        <f>D128</f>
        <v>30</v>
      </c>
      <c r="E145" s="13">
        <f t="shared" si="5"/>
        <v>10</v>
      </c>
    </row>
    <row r="146" spans="1:10" x14ac:dyDescent="0.2">
      <c r="A146" s="14" t="s">
        <v>66</v>
      </c>
      <c r="B146" s="15" t="s">
        <v>46</v>
      </c>
      <c r="C146" s="472">
        <f>C130</f>
        <v>4</v>
      </c>
      <c r="D146" s="16">
        <f>D130</f>
        <v>65</v>
      </c>
      <c r="E146" s="13">
        <f t="shared" si="4"/>
        <v>16.25</v>
      </c>
    </row>
    <row r="147" spans="1:10" x14ac:dyDescent="0.2">
      <c r="A147" s="14" t="s">
        <v>65</v>
      </c>
      <c r="B147" s="15" t="s">
        <v>9</v>
      </c>
      <c r="C147" s="472">
        <f>C132</f>
        <v>6</v>
      </c>
      <c r="D147" s="16">
        <f>D132</f>
        <v>67</v>
      </c>
      <c r="E147" s="13">
        <f t="shared" si="4"/>
        <v>11.166666666666666</v>
      </c>
      <c r="G147" s="7"/>
    </row>
    <row r="148" spans="1:10" x14ac:dyDescent="0.2">
      <c r="A148" s="14" t="s">
        <v>59</v>
      </c>
      <c r="B148" s="15" t="s">
        <v>47</v>
      </c>
      <c r="C148" s="472">
        <f>C135</f>
        <v>2</v>
      </c>
      <c r="D148" s="16">
        <f>+D135</f>
        <v>20</v>
      </c>
      <c r="E148" s="13">
        <f t="shared" si="4"/>
        <v>10</v>
      </c>
      <c r="G148" s="7"/>
    </row>
    <row r="149" spans="1:10" ht="13.5" thickBot="1" x14ac:dyDescent="0.25">
      <c r="A149" s="14" t="s">
        <v>4</v>
      </c>
      <c r="B149" s="15" t="s">
        <v>5</v>
      </c>
      <c r="C149" s="63">
        <f>E35+E36</f>
        <v>2</v>
      </c>
      <c r="D149" s="16">
        <f>+SUM(E142:E148)</f>
        <v>84.833333333333329</v>
      </c>
      <c r="E149" s="16">
        <f t="shared" ref="E149" si="6">C149*D149</f>
        <v>169.66666666666666</v>
      </c>
      <c r="G149" s="7"/>
    </row>
    <row r="150" spans="1:10" ht="13.5" thickBot="1" x14ac:dyDescent="0.25">
      <c r="D150" s="112" t="s">
        <v>192</v>
      </c>
      <c r="E150" s="294">
        <f>E83</f>
        <v>1</v>
      </c>
      <c r="F150" s="113">
        <f>E149*E150</f>
        <v>169.66666666666666</v>
      </c>
      <c r="G150" s="7"/>
    </row>
    <row r="151" spans="1:10" ht="11.25" customHeight="1" thickBot="1" x14ac:dyDescent="0.25">
      <c r="G151" s="7"/>
    </row>
    <row r="152" spans="1:10" ht="13.5" thickBot="1" x14ac:dyDescent="0.25">
      <c r="A152" s="22" t="s">
        <v>196</v>
      </c>
      <c r="B152" s="26"/>
      <c r="C152" s="26"/>
      <c r="D152" s="27"/>
      <c r="E152" s="28"/>
      <c r="F152" s="19">
        <f>+F137+F150</f>
        <v>391.82575757575756</v>
      </c>
      <c r="G152" s="7"/>
    </row>
    <row r="153" spans="1:10" ht="11.25" customHeight="1" x14ac:dyDescent="0.2">
      <c r="G153" s="7"/>
    </row>
    <row r="154" spans="1:10" x14ac:dyDescent="0.2">
      <c r="A154" s="9" t="s">
        <v>52</v>
      </c>
      <c r="G154" s="7"/>
    </row>
    <row r="155" spans="1:10" x14ac:dyDescent="0.2">
      <c r="A155" s="7" t="s">
        <v>93</v>
      </c>
      <c r="G155" s="7"/>
    </row>
    <row r="156" spans="1:10" ht="13.5" thickBot="1" x14ac:dyDescent="0.25">
      <c r="A156" s="97" t="s">
        <v>44</v>
      </c>
      <c r="G156" s="7"/>
    </row>
    <row r="157" spans="1:10" ht="13.5" thickBot="1" x14ac:dyDescent="0.25">
      <c r="A157" s="54" t="s">
        <v>60</v>
      </c>
      <c r="B157" s="55" t="s">
        <v>61</v>
      </c>
      <c r="C157" s="55" t="s">
        <v>38</v>
      </c>
      <c r="D157" s="56" t="s">
        <v>231</v>
      </c>
      <c r="E157" s="56" t="s">
        <v>62</v>
      </c>
      <c r="F157" s="57" t="s">
        <v>63</v>
      </c>
      <c r="G157" s="7"/>
    </row>
    <row r="158" spans="1:10" x14ac:dyDescent="0.2">
      <c r="A158" s="11" t="s">
        <v>105</v>
      </c>
      <c r="B158" s="12" t="s">
        <v>9</v>
      </c>
      <c r="C158" s="12">
        <v>1</v>
      </c>
      <c r="D158" s="79">
        <v>260000</v>
      </c>
      <c r="E158" s="13">
        <f>C158*D158</f>
        <v>260000</v>
      </c>
      <c r="G158" s="7"/>
    </row>
    <row r="159" spans="1:10" x14ac:dyDescent="0.2">
      <c r="A159" s="14" t="s">
        <v>99</v>
      </c>
      <c r="B159" s="15" t="s">
        <v>100</v>
      </c>
      <c r="C159" s="78">
        <v>10</v>
      </c>
      <c r="D159" s="75"/>
      <c r="E159" s="16"/>
      <c r="G159" s="7"/>
    </row>
    <row r="160" spans="1:10" x14ac:dyDescent="0.2">
      <c r="A160" s="14" t="s">
        <v>209</v>
      </c>
      <c r="B160" s="15" t="s">
        <v>100</v>
      </c>
      <c r="C160" s="78">
        <v>0</v>
      </c>
      <c r="D160" s="16"/>
      <c r="E160" s="16"/>
      <c r="F160" s="18"/>
      <c r="I160" s="77"/>
      <c r="J160" s="77"/>
    </row>
    <row r="161" spans="1:10" x14ac:dyDescent="0.2">
      <c r="A161" s="14" t="s">
        <v>103</v>
      </c>
      <c r="B161" s="15" t="s">
        <v>1</v>
      </c>
      <c r="C161" s="128">
        <f>IFERROR(VLOOKUP(C159,'8. Depreciação'!A3:B17,2,FALSE),0)</f>
        <v>65.180000000000007</v>
      </c>
      <c r="D161" s="16">
        <f>E158</f>
        <v>260000</v>
      </c>
      <c r="E161" s="16">
        <f>C161*D161/100</f>
        <v>169468</v>
      </c>
    </row>
    <row r="162" spans="1:10" ht="13.5" thickBot="1" x14ac:dyDescent="0.25">
      <c r="A162" s="254" t="s">
        <v>48</v>
      </c>
      <c r="B162" s="255" t="s">
        <v>7</v>
      </c>
      <c r="C162" s="255">
        <f>C159*12</f>
        <v>120</v>
      </c>
      <c r="D162" s="256">
        <f>IF(C160&lt;=C159,E161,0)</f>
        <v>169468</v>
      </c>
      <c r="E162" s="256">
        <f>IFERROR(D162/C162,0)</f>
        <v>1412.2333333333333</v>
      </c>
    </row>
    <row r="163" spans="1:10" ht="13.5" thickTop="1" x14ac:dyDescent="0.2">
      <c r="A163" s="11" t="s">
        <v>104</v>
      </c>
      <c r="B163" s="12" t="s">
        <v>9</v>
      </c>
      <c r="C163" s="12">
        <f>C158</f>
        <v>1</v>
      </c>
      <c r="D163" s="79">
        <v>120000</v>
      </c>
      <c r="E163" s="13">
        <f>C163*D163</f>
        <v>120000</v>
      </c>
      <c r="G163" s="7"/>
    </row>
    <row r="164" spans="1:10" x14ac:dyDescent="0.2">
      <c r="A164" s="14" t="s">
        <v>101</v>
      </c>
      <c r="B164" s="15" t="s">
        <v>100</v>
      </c>
      <c r="C164" s="78">
        <v>10</v>
      </c>
      <c r="D164" s="16"/>
      <c r="E164" s="16"/>
    </row>
    <row r="165" spans="1:10" x14ac:dyDescent="0.2">
      <c r="A165" s="14" t="s">
        <v>210</v>
      </c>
      <c r="B165" s="15" t="s">
        <v>100</v>
      </c>
      <c r="C165" s="78">
        <v>0</v>
      </c>
      <c r="D165" s="16"/>
      <c r="E165" s="16"/>
      <c r="F165" s="18"/>
      <c r="I165" s="77"/>
      <c r="J165" s="77"/>
    </row>
    <row r="166" spans="1:10" x14ac:dyDescent="0.2">
      <c r="A166" s="14" t="s">
        <v>102</v>
      </c>
      <c r="B166" s="15" t="s">
        <v>1</v>
      </c>
      <c r="C166" s="129">
        <f>IFERROR(VLOOKUP(C164,'8. Depreciação'!A3:B17,2,FALSE),0)</f>
        <v>65.180000000000007</v>
      </c>
      <c r="D166" s="16">
        <f>E163</f>
        <v>120000</v>
      </c>
      <c r="E166" s="16">
        <f>C166*D166/100</f>
        <v>78216.000000000015</v>
      </c>
    </row>
    <row r="167" spans="1:10" x14ac:dyDescent="0.2">
      <c r="A167" s="93" t="s">
        <v>106</v>
      </c>
      <c r="B167" s="94" t="s">
        <v>7</v>
      </c>
      <c r="C167" s="94">
        <f>C164*12</f>
        <v>120</v>
      </c>
      <c r="D167" s="95">
        <f>IF(C165&lt;=C164,E166,0)</f>
        <v>78216.000000000015</v>
      </c>
      <c r="E167" s="95">
        <f>IFERROR(D167/C167,0)</f>
        <v>651.80000000000007</v>
      </c>
    </row>
    <row r="168" spans="1:10" x14ac:dyDescent="0.2">
      <c r="A168" s="106" t="s">
        <v>251</v>
      </c>
      <c r="B168" s="107"/>
      <c r="C168" s="107"/>
      <c r="D168" s="108"/>
      <c r="E168" s="109">
        <f>E162+E167</f>
        <v>2064.0333333333333</v>
      </c>
    </row>
    <row r="169" spans="1:10" ht="13.5" thickBot="1" x14ac:dyDescent="0.25">
      <c r="A169" s="93" t="s">
        <v>252</v>
      </c>
      <c r="B169" s="94" t="s">
        <v>9</v>
      </c>
      <c r="C169" s="78">
        <v>1</v>
      </c>
      <c r="D169" s="95">
        <f>E168</f>
        <v>2064.0333333333333</v>
      </c>
      <c r="E169" s="109">
        <f>C169*D169</f>
        <v>2064.0333333333333</v>
      </c>
    </row>
    <row r="170" spans="1:10" ht="13.5" thickBot="1" x14ac:dyDescent="0.25">
      <c r="A170" s="249"/>
      <c r="B170" s="249"/>
      <c r="C170" s="249"/>
      <c r="D170" s="112" t="s">
        <v>192</v>
      </c>
      <c r="E170" s="294">
        <f>E83</f>
        <v>1</v>
      </c>
      <c r="F170" s="19">
        <f>E169*E170</f>
        <v>2064.0333333333333</v>
      </c>
    </row>
    <row r="171" spans="1:10" ht="11.25" customHeight="1" x14ac:dyDescent="0.2"/>
    <row r="172" spans="1:10" ht="13.5" thickBot="1" x14ac:dyDescent="0.25">
      <c r="A172" s="97" t="s">
        <v>109</v>
      </c>
    </row>
    <row r="173" spans="1:10" ht="13.5" thickBot="1" x14ac:dyDescent="0.25">
      <c r="A173" s="99" t="s">
        <v>60</v>
      </c>
      <c r="B173" s="100" t="s">
        <v>61</v>
      </c>
      <c r="C173" s="100" t="s">
        <v>38</v>
      </c>
      <c r="D173" s="56" t="s">
        <v>231</v>
      </c>
      <c r="E173" s="101" t="s">
        <v>62</v>
      </c>
      <c r="F173" s="57" t="s">
        <v>63</v>
      </c>
      <c r="I173" s="77"/>
      <c r="J173" s="77"/>
    </row>
    <row r="174" spans="1:10" x14ac:dyDescent="0.2">
      <c r="A174" s="14" t="s">
        <v>107</v>
      </c>
      <c r="B174" s="15" t="s">
        <v>9</v>
      </c>
      <c r="C174" s="12">
        <v>1</v>
      </c>
      <c r="D174" s="16">
        <f>D158</f>
        <v>260000</v>
      </c>
      <c r="E174" s="16">
        <f>C174*D174</f>
        <v>260000</v>
      </c>
      <c r="F174" s="18"/>
      <c r="I174" s="77"/>
      <c r="J174" s="77"/>
    </row>
    <row r="175" spans="1:10" x14ac:dyDescent="0.2">
      <c r="A175" s="14" t="s">
        <v>213</v>
      </c>
      <c r="B175" s="15" t="s">
        <v>1</v>
      </c>
      <c r="C175" s="81">
        <v>10</v>
      </c>
      <c r="D175" s="16"/>
      <c r="E175" s="16"/>
      <c r="F175" s="18"/>
      <c r="I175" s="77"/>
      <c r="J175" s="77"/>
    </row>
    <row r="176" spans="1:10" x14ac:dyDescent="0.2">
      <c r="A176" s="14" t="s">
        <v>211</v>
      </c>
      <c r="B176" s="15" t="s">
        <v>33</v>
      </c>
      <c r="C176" s="134">
        <f>IFERROR(IF(C160&lt;=C159,E158-(C161/(100*C159)*C160)*E158,E158-E161),0)</f>
        <v>260000</v>
      </c>
      <c r="D176" s="16"/>
      <c r="E176" s="16"/>
      <c r="F176" s="18"/>
      <c r="I176" s="77"/>
      <c r="J176" s="77"/>
    </row>
    <row r="177" spans="1:10" x14ac:dyDescent="0.2">
      <c r="A177" s="14" t="s">
        <v>111</v>
      </c>
      <c r="B177" s="15" t="s">
        <v>33</v>
      </c>
      <c r="C177" s="75">
        <f>IFERROR(IF(C160&gt;=C159,C176,((((C176)-(E158-E161))*(((C159-C160)+1)/(2*(C159-C160))))+(E158-E161))),0)</f>
        <v>183739.40000000002</v>
      </c>
      <c r="D177" s="16"/>
      <c r="E177" s="16"/>
      <c r="F177" s="18"/>
      <c r="I177" s="77"/>
      <c r="J177" s="77"/>
    </row>
    <row r="178" spans="1:10" ht="13.5" thickBot="1" x14ac:dyDescent="0.25">
      <c r="A178" s="254" t="s">
        <v>112</v>
      </c>
      <c r="B178" s="255" t="s">
        <v>33</v>
      </c>
      <c r="C178" s="255"/>
      <c r="D178" s="257">
        <f>C175*C177/12/100</f>
        <v>1531.1616666666669</v>
      </c>
      <c r="E178" s="256">
        <f>D178</f>
        <v>1531.1616666666669</v>
      </c>
      <c r="F178" s="18"/>
      <c r="I178" s="77"/>
      <c r="J178" s="77"/>
    </row>
    <row r="179" spans="1:10" ht="13.5" thickTop="1" x14ac:dyDescent="0.2">
      <c r="A179" s="11" t="s">
        <v>108</v>
      </c>
      <c r="B179" s="12" t="s">
        <v>9</v>
      </c>
      <c r="C179" s="12">
        <f>C163</f>
        <v>1</v>
      </c>
      <c r="D179" s="13">
        <f>D163</f>
        <v>120000</v>
      </c>
      <c r="E179" s="13">
        <f>C179*D179</f>
        <v>120000</v>
      </c>
      <c r="F179" s="18"/>
      <c r="I179" s="77"/>
      <c r="J179" s="77"/>
    </row>
    <row r="180" spans="1:10" x14ac:dyDescent="0.2">
      <c r="A180" s="14" t="s">
        <v>213</v>
      </c>
      <c r="B180" s="15" t="s">
        <v>1</v>
      </c>
      <c r="C180" s="476">
        <f>C175</f>
        <v>10</v>
      </c>
      <c r="D180" s="16"/>
      <c r="E180" s="16"/>
      <c r="F180" s="18"/>
      <c r="I180" s="77"/>
      <c r="J180" s="77"/>
    </row>
    <row r="181" spans="1:10" x14ac:dyDescent="0.2">
      <c r="A181" s="14" t="s">
        <v>212</v>
      </c>
      <c r="B181" s="15" t="s">
        <v>33</v>
      </c>
      <c r="C181" s="134">
        <f>IFERROR(IF(C165&lt;=C164,E163-(C166/(100*C164)*C165)*E163,E163-E166),0)</f>
        <v>120000</v>
      </c>
      <c r="D181" s="16"/>
      <c r="E181" s="16"/>
      <c r="F181" s="18"/>
      <c r="I181" s="77"/>
      <c r="J181" s="77"/>
    </row>
    <row r="182" spans="1:10" x14ac:dyDescent="0.2">
      <c r="A182" s="14" t="s">
        <v>113</v>
      </c>
      <c r="B182" s="15" t="s">
        <v>33</v>
      </c>
      <c r="C182" s="75">
        <f>IFERROR(IF(C165&gt;=C164,C181,((((C181)-(E163-E166))*(((C164-C165)+1)/(2*(C164-C165))))+(E163-E166))),0)</f>
        <v>84802.799999999988</v>
      </c>
      <c r="D182" s="16"/>
      <c r="E182" s="16"/>
      <c r="F182" s="18"/>
      <c r="I182" s="77"/>
      <c r="J182" s="77"/>
    </row>
    <row r="183" spans="1:10" x14ac:dyDescent="0.2">
      <c r="A183" s="93" t="s">
        <v>110</v>
      </c>
      <c r="B183" s="94" t="s">
        <v>33</v>
      </c>
      <c r="C183" s="94"/>
      <c r="D183" s="103">
        <f>C180*C182/12/100</f>
        <v>706.68999999999983</v>
      </c>
      <c r="E183" s="95">
        <f>D183</f>
        <v>706.68999999999983</v>
      </c>
      <c r="F183" s="18"/>
      <c r="I183" s="77"/>
      <c r="J183" s="77"/>
    </row>
    <row r="184" spans="1:10" x14ac:dyDescent="0.2">
      <c r="A184" s="106" t="s">
        <v>251</v>
      </c>
      <c r="B184" s="107"/>
      <c r="C184" s="107"/>
      <c r="D184" s="108"/>
      <c r="E184" s="109">
        <f>E178+E183</f>
        <v>2237.8516666666665</v>
      </c>
      <c r="F184" s="18"/>
      <c r="I184" s="77"/>
      <c r="J184" s="77"/>
    </row>
    <row r="185" spans="1:10" ht="13.5" thickBot="1" x14ac:dyDescent="0.25">
      <c r="A185" s="93" t="s">
        <v>252</v>
      </c>
      <c r="B185" s="94" t="s">
        <v>9</v>
      </c>
      <c r="C185" s="15">
        <f>C169</f>
        <v>1</v>
      </c>
      <c r="D185" s="95">
        <f>E184</f>
        <v>2237.8516666666665</v>
      </c>
      <c r="E185" s="109">
        <f>C185*D185</f>
        <v>2237.8516666666665</v>
      </c>
      <c r="F185" s="18"/>
      <c r="I185" s="77"/>
      <c r="J185" s="77"/>
    </row>
    <row r="186" spans="1:10" ht="13.5" thickBot="1" x14ac:dyDescent="0.25">
      <c r="C186" s="17"/>
      <c r="D186" s="112" t="s">
        <v>192</v>
      </c>
      <c r="E186" s="294">
        <f>E83</f>
        <v>1</v>
      </c>
      <c r="F186" s="19">
        <f>E185*E186</f>
        <v>2237.8516666666665</v>
      </c>
      <c r="I186" s="77"/>
      <c r="J186" s="77"/>
    </row>
    <row r="187" spans="1:10" ht="11.25" customHeight="1" x14ac:dyDescent="0.2">
      <c r="I187" s="77"/>
      <c r="J187" s="77"/>
    </row>
    <row r="188" spans="1:10" ht="13.5" thickBot="1" x14ac:dyDescent="0.25">
      <c r="A188" s="7" t="s">
        <v>49</v>
      </c>
      <c r="I188" s="77"/>
      <c r="J188" s="77"/>
    </row>
    <row r="189" spans="1:10" ht="13.5" thickBot="1" x14ac:dyDescent="0.25">
      <c r="A189" s="54" t="s">
        <v>60</v>
      </c>
      <c r="B189" s="55" t="s">
        <v>61</v>
      </c>
      <c r="C189" s="55" t="s">
        <v>38</v>
      </c>
      <c r="D189" s="56" t="s">
        <v>231</v>
      </c>
      <c r="E189" s="56" t="s">
        <v>62</v>
      </c>
      <c r="F189" s="57" t="s">
        <v>63</v>
      </c>
      <c r="I189" s="77"/>
      <c r="J189" s="77"/>
    </row>
    <row r="190" spans="1:10" x14ac:dyDescent="0.2">
      <c r="A190" s="11" t="s">
        <v>11</v>
      </c>
      <c r="B190" s="12" t="s">
        <v>9</v>
      </c>
      <c r="C190" s="13">
        <f>C169</f>
        <v>1</v>
      </c>
      <c r="D190" s="13">
        <f>0.01*($E$158)</f>
        <v>2600</v>
      </c>
      <c r="E190" s="13">
        <f>C190*D190</f>
        <v>2600</v>
      </c>
      <c r="I190" s="77"/>
      <c r="J190" s="77"/>
    </row>
    <row r="191" spans="1:10" x14ac:dyDescent="0.2">
      <c r="A191" s="14" t="s">
        <v>191</v>
      </c>
      <c r="B191" s="15" t="s">
        <v>9</v>
      </c>
      <c r="C191" s="13">
        <f>C169</f>
        <v>1</v>
      </c>
      <c r="D191" s="81">
        <v>94.1</v>
      </c>
      <c r="E191" s="16">
        <f>C191*D191</f>
        <v>94.1</v>
      </c>
      <c r="I191" s="77"/>
      <c r="J191" s="77"/>
    </row>
    <row r="192" spans="1:10" x14ac:dyDescent="0.2">
      <c r="A192" s="14" t="s">
        <v>12</v>
      </c>
      <c r="B192" s="15" t="s">
        <v>9</v>
      </c>
      <c r="C192" s="13">
        <f>C169</f>
        <v>1</v>
      </c>
      <c r="D192" s="81">
        <v>3000</v>
      </c>
      <c r="E192" s="16">
        <f>C192*D192</f>
        <v>3000</v>
      </c>
      <c r="F192" s="29"/>
      <c r="I192" s="77"/>
      <c r="J192" s="77"/>
    </row>
    <row r="193" spans="1:10" ht="13.5" thickBot="1" x14ac:dyDescent="0.25">
      <c r="A193" s="93" t="s">
        <v>13</v>
      </c>
      <c r="B193" s="94" t="s">
        <v>7</v>
      </c>
      <c r="C193" s="94">
        <v>12</v>
      </c>
      <c r="D193" s="95">
        <f>SUM(E190:E192)</f>
        <v>5694.1</v>
      </c>
      <c r="E193" s="95">
        <f>D193/C193</f>
        <v>474.50833333333338</v>
      </c>
      <c r="I193" s="77"/>
      <c r="J193" s="77"/>
    </row>
    <row r="194" spans="1:10" ht="13.5" thickBot="1" x14ac:dyDescent="0.25">
      <c r="D194" s="112" t="s">
        <v>192</v>
      </c>
      <c r="E194" s="294">
        <f>E83</f>
        <v>1</v>
      </c>
      <c r="F194" s="113">
        <f>E193*E194</f>
        <v>474.50833333333338</v>
      </c>
      <c r="I194" s="77"/>
      <c r="J194" s="77"/>
    </row>
    <row r="195" spans="1:10" ht="11.25" customHeight="1" x14ac:dyDescent="0.2">
      <c r="I195" s="77"/>
      <c r="J195" s="77"/>
    </row>
    <row r="196" spans="1:10" x14ac:dyDescent="0.2">
      <c r="A196" s="7" t="s">
        <v>50</v>
      </c>
      <c r="B196" s="30"/>
      <c r="I196" s="77"/>
      <c r="J196" s="77"/>
    </row>
    <row r="197" spans="1:10" x14ac:dyDescent="0.2">
      <c r="B197" s="30"/>
      <c r="I197" s="77"/>
      <c r="J197" s="77"/>
    </row>
    <row r="198" spans="1:10" x14ac:dyDescent="0.2">
      <c r="A198" s="93" t="s">
        <v>115</v>
      </c>
      <c r="B198" s="286">
        <f>'10. Roteiros'!S13+'10. Roteiros'!S24</f>
        <v>3759.4986428571433</v>
      </c>
      <c r="I198" s="77"/>
      <c r="J198" s="77"/>
    </row>
    <row r="199" spans="1:10" ht="13.5" thickBot="1" x14ac:dyDescent="0.25">
      <c r="B199" s="30"/>
      <c r="I199" s="77"/>
      <c r="J199" s="77"/>
    </row>
    <row r="200" spans="1:10" ht="13.5" thickBot="1" x14ac:dyDescent="0.25">
      <c r="A200" s="54" t="s">
        <v>60</v>
      </c>
      <c r="B200" s="55" t="s">
        <v>61</v>
      </c>
      <c r="C200" s="55" t="s">
        <v>250</v>
      </c>
      <c r="D200" s="56" t="s">
        <v>231</v>
      </c>
      <c r="E200" s="56" t="s">
        <v>62</v>
      </c>
      <c r="F200" s="57" t="s">
        <v>63</v>
      </c>
      <c r="I200" s="77"/>
      <c r="J200" s="77"/>
    </row>
    <row r="201" spans="1:10" x14ac:dyDescent="0.2">
      <c r="A201" s="11" t="s">
        <v>14</v>
      </c>
      <c r="B201" s="12" t="s">
        <v>15</v>
      </c>
      <c r="C201" s="87">
        <v>2.1</v>
      </c>
      <c r="D201" s="88">
        <v>6.09</v>
      </c>
      <c r="E201" s="13"/>
      <c r="I201" s="77"/>
      <c r="J201" s="77"/>
    </row>
    <row r="202" spans="1:10" x14ac:dyDescent="0.2">
      <c r="A202" s="14" t="s">
        <v>16</v>
      </c>
      <c r="B202" s="15" t="s">
        <v>17</v>
      </c>
      <c r="C202" s="85">
        <f>B198</f>
        <v>3759.4986428571433</v>
      </c>
      <c r="D202" s="248">
        <f>IFERROR(+D201/C201,"-")</f>
        <v>2.9</v>
      </c>
      <c r="E202" s="16">
        <f>IFERROR(C202*D202,"-")</f>
        <v>10902.546064285716</v>
      </c>
      <c r="I202" s="77"/>
      <c r="J202" s="77"/>
    </row>
    <row r="203" spans="1:10" x14ac:dyDescent="0.2">
      <c r="A203" s="14" t="s">
        <v>232</v>
      </c>
      <c r="B203" s="15" t="s">
        <v>18</v>
      </c>
      <c r="C203" s="90">
        <v>1.33</v>
      </c>
      <c r="D203" s="81">
        <v>23</v>
      </c>
      <c r="E203" s="16"/>
      <c r="G203" s="102"/>
      <c r="I203" s="77"/>
      <c r="J203" s="77"/>
    </row>
    <row r="204" spans="1:10" x14ac:dyDescent="0.2">
      <c r="A204" s="14" t="s">
        <v>19</v>
      </c>
      <c r="B204" s="15" t="s">
        <v>17</v>
      </c>
      <c r="C204" s="85">
        <f>C202</f>
        <v>3759.4986428571433</v>
      </c>
      <c r="D204" s="245">
        <f>+C203*D203/1000</f>
        <v>3.0590000000000003E-2</v>
      </c>
      <c r="E204" s="16">
        <f>C204*D204</f>
        <v>115.00306348500003</v>
      </c>
      <c r="G204" s="102"/>
      <c r="I204" s="77"/>
      <c r="J204" s="77"/>
    </row>
    <row r="205" spans="1:10" x14ac:dyDescent="0.2">
      <c r="A205" s="14" t="s">
        <v>233</v>
      </c>
      <c r="B205" s="15" t="s">
        <v>18</v>
      </c>
      <c r="C205" s="90">
        <v>2</v>
      </c>
      <c r="D205" s="81">
        <v>26</v>
      </c>
      <c r="E205" s="16"/>
      <c r="G205" s="102"/>
      <c r="I205" s="77"/>
      <c r="J205" s="77"/>
    </row>
    <row r="206" spans="1:10" x14ac:dyDescent="0.2">
      <c r="A206" s="14" t="s">
        <v>20</v>
      </c>
      <c r="B206" s="15" t="s">
        <v>17</v>
      </c>
      <c r="C206" s="85">
        <f>C202</f>
        <v>3759.4986428571433</v>
      </c>
      <c r="D206" s="245">
        <f>+C205*D205/1000</f>
        <v>5.1999999999999998E-2</v>
      </c>
      <c r="E206" s="16">
        <f>C206*D206</f>
        <v>195.49392942857145</v>
      </c>
      <c r="G206" s="102"/>
      <c r="I206" s="77"/>
      <c r="J206" s="77"/>
    </row>
    <row r="207" spans="1:10" x14ac:dyDescent="0.2">
      <c r="A207" s="14" t="s">
        <v>234</v>
      </c>
      <c r="B207" s="15" t="s">
        <v>18</v>
      </c>
      <c r="C207" s="90">
        <v>2</v>
      </c>
      <c r="D207" s="81">
        <v>22</v>
      </c>
      <c r="E207" s="16"/>
      <c r="G207" s="102"/>
      <c r="I207" s="77"/>
      <c r="J207" s="77"/>
    </row>
    <row r="208" spans="1:10" x14ac:dyDescent="0.2">
      <c r="A208" s="14" t="s">
        <v>21</v>
      </c>
      <c r="B208" s="15" t="s">
        <v>17</v>
      </c>
      <c r="C208" s="85">
        <f>C202</f>
        <v>3759.4986428571433</v>
      </c>
      <c r="D208" s="245">
        <f>+C207*D207/1000</f>
        <v>4.3999999999999997E-2</v>
      </c>
      <c r="E208" s="16">
        <f>C208*D208</f>
        <v>165.41794028571431</v>
      </c>
      <c r="G208" s="102"/>
      <c r="I208" s="77"/>
      <c r="J208" s="77"/>
    </row>
    <row r="209" spans="1:10" x14ac:dyDescent="0.2">
      <c r="A209" s="270" t="s">
        <v>446</v>
      </c>
      <c r="B209" s="271" t="s">
        <v>18</v>
      </c>
      <c r="C209" s="333">
        <v>20</v>
      </c>
      <c r="D209" s="295">
        <v>3.3</v>
      </c>
      <c r="E209" s="277"/>
      <c r="G209" s="102"/>
      <c r="I209" s="77"/>
      <c r="J209" s="77"/>
    </row>
    <row r="210" spans="1:10" x14ac:dyDescent="0.2">
      <c r="A210" s="270" t="s">
        <v>447</v>
      </c>
      <c r="B210" s="271" t="s">
        <v>17</v>
      </c>
      <c r="C210" s="331">
        <f>C204</f>
        <v>3759.4986428571433</v>
      </c>
      <c r="D210" s="334">
        <f>+C209*D209/1000</f>
        <v>6.6000000000000003E-2</v>
      </c>
      <c r="E210" s="277">
        <f>C210*D210</f>
        <v>248.12691042857148</v>
      </c>
      <c r="G210" s="102"/>
      <c r="I210" s="77"/>
      <c r="J210" s="77"/>
    </row>
    <row r="211" spans="1:10" x14ac:dyDescent="0.2">
      <c r="A211" s="14" t="s">
        <v>22</v>
      </c>
      <c r="B211" s="15" t="s">
        <v>23</v>
      </c>
      <c r="C211" s="90">
        <v>2</v>
      </c>
      <c r="D211" s="81">
        <v>10</v>
      </c>
      <c r="E211" s="16"/>
      <c r="G211" s="102"/>
      <c r="I211" s="77"/>
      <c r="J211" s="77"/>
    </row>
    <row r="212" spans="1:10" x14ac:dyDescent="0.2">
      <c r="A212" s="14" t="s">
        <v>24</v>
      </c>
      <c r="B212" s="15" t="s">
        <v>17</v>
      </c>
      <c r="C212" s="85">
        <f>C202</f>
        <v>3759.4986428571433</v>
      </c>
      <c r="D212" s="245">
        <f>+C211*D211/1000</f>
        <v>0.02</v>
      </c>
      <c r="E212" s="16">
        <f>C212*D212</f>
        <v>75.189972857142862</v>
      </c>
      <c r="G212" s="102"/>
      <c r="I212" s="77"/>
      <c r="J212" s="77"/>
    </row>
    <row r="213" spans="1:10" ht="13.5" thickBot="1" x14ac:dyDescent="0.25">
      <c r="A213" s="93" t="s">
        <v>249</v>
      </c>
      <c r="B213" s="94" t="s">
        <v>116</v>
      </c>
      <c r="C213" s="246"/>
      <c r="D213" s="247">
        <f>IFERROR(D202+D204+D206+D208+D210+D212,0)</f>
        <v>3.11259</v>
      </c>
      <c r="E213" s="16"/>
      <c r="G213" s="102"/>
      <c r="I213" s="77"/>
      <c r="J213" s="77"/>
    </row>
    <row r="214" spans="1:10" ht="13.5" thickBot="1" x14ac:dyDescent="0.25">
      <c r="F214" s="19">
        <f>SUM(E201:E212)</f>
        <v>11701.777880770716</v>
      </c>
      <c r="I214" s="77"/>
      <c r="J214" s="77"/>
    </row>
    <row r="215" spans="1:10" ht="11.25" customHeight="1" x14ac:dyDescent="0.2">
      <c r="I215" s="77"/>
      <c r="J215" s="77"/>
    </row>
    <row r="216" spans="1:10" ht="13.5" thickBot="1" x14ac:dyDescent="0.25">
      <c r="A216" s="7" t="s">
        <v>51</v>
      </c>
      <c r="I216" s="77"/>
      <c r="J216" s="77"/>
    </row>
    <row r="217" spans="1:10" ht="13.5" thickBot="1" x14ac:dyDescent="0.25">
      <c r="A217" s="54" t="s">
        <v>60</v>
      </c>
      <c r="B217" s="55" t="s">
        <v>61</v>
      </c>
      <c r="C217" s="55" t="s">
        <v>38</v>
      </c>
      <c r="D217" s="56" t="s">
        <v>231</v>
      </c>
      <c r="E217" s="56" t="s">
        <v>62</v>
      </c>
      <c r="F217" s="57" t="s">
        <v>63</v>
      </c>
      <c r="I217" s="77"/>
      <c r="J217" s="77"/>
    </row>
    <row r="218" spans="1:10" ht="13.5" thickBot="1" x14ac:dyDescent="0.25">
      <c r="A218" s="11" t="s">
        <v>114</v>
      </c>
      <c r="B218" s="12" t="s">
        <v>116</v>
      </c>
      <c r="C218" s="85">
        <f>C202</f>
        <v>3759.4986428571433</v>
      </c>
      <c r="D218" s="79">
        <v>1</v>
      </c>
      <c r="E218" s="13">
        <f>C218*D218</f>
        <v>3759.4986428571433</v>
      </c>
      <c r="I218" s="77"/>
      <c r="J218" s="77"/>
    </row>
    <row r="219" spans="1:10" ht="13.5" thickBot="1" x14ac:dyDescent="0.25">
      <c r="F219" s="19">
        <f>E218</f>
        <v>3759.4986428571433</v>
      </c>
      <c r="I219" s="77"/>
      <c r="J219" s="77"/>
    </row>
    <row r="220" spans="1:10" ht="11.25" customHeight="1" x14ac:dyDescent="0.2">
      <c r="I220" s="77"/>
      <c r="J220" s="77"/>
    </row>
    <row r="221" spans="1:10" ht="13.5" thickBot="1" x14ac:dyDescent="0.25">
      <c r="A221" s="7" t="s">
        <v>58</v>
      </c>
      <c r="I221" s="77"/>
      <c r="J221" s="77"/>
    </row>
    <row r="222" spans="1:10" ht="13.5" thickBot="1" x14ac:dyDescent="0.25">
      <c r="A222" s="54" t="s">
        <v>60</v>
      </c>
      <c r="B222" s="55" t="s">
        <v>61</v>
      </c>
      <c r="C222" s="55" t="s">
        <v>38</v>
      </c>
      <c r="D222" s="56" t="s">
        <v>231</v>
      </c>
      <c r="E222" s="56" t="s">
        <v>62</v>
      </c>
      <c r="F222" s="57" t="s">
        <v>63</v>
      </c>
      <c r="I222" s="77"/>
      <c r="J222" s="77"/>
    </row>
    <row r="223" spans="1:10" x14ac:dyDescent="0.2">
      <c r="A223" s="11" t="s">
        <v>94</v>
      </c>
      <c r="B223" s="12" t="s">
        <v>9</v>
      </c>
      <c r="C223" s="86">
        <v>6</v>
      </c>
      <c r="D223" s="79">
        <v>2600</v>
      </c>
      <c r="E223" s="13">
        <f>C223*D223</f>
        <v>15600</v>
      </c>
      <c r="I223" s="77"/>
      <c r="J223" s="77"/>
    </row>
    <row r="224" spans="1:10" x14ac:dyDescent="0.2">
      <c r="A224" s="11" t="s">
        <v>117</v>
      </c>
      <c r="B224" s="12" t="s">
        <v>9</v>
      </c>
      <c r="C224" s="86">
        <v>2</v>
      </c>
      <c r="D224" s="96"/>
      <c r="E224" s="13"/>
      <c r="I224" s="77"/>
      <c r="J224" s="77"/>
    </row>
    <row r="225" spans="1:10" x14ac:dyDescent="0.2">
      <c r="A225" s="11" t="s">
        <v>68</v>
      </c>
      <c r="B225" s="12" t="s">
        <v>9</v>
      </c>
      <c r="C225" s="13">
        <f>C223*C224</f>
        <v>12</v>
      </c>
      <c r="D225" s="79">
        <v>650</v>
      </c>
      <c r="E225" s="13">
        <f>C225*D225</f>
        <v>7800</v>
      </c>
      <c r="I225" s="77"/>
      <c r="J225" s="77"/>
    </row>
    <row r="226" spans="1:10" x14ac:dyDescent="0.2">
      <c r="A226" s="14" t="s">
        <v>95</v>
      </c>
      <c r="B226" s="15" t="s">
        <v>25</v>
      </c>
      <c r="C226" s="89">
        <v>80000</v>
      </c>
      <c r="D226" s="16">
        <f>E223+E225</f>
        <v>23400</v>
      </c>
      <c r="E226" s="16">
        <f>IFERROR(D226/C226,"-")</f>
        <v>0.29249999999999998</v>
      </c>
      <c r="I226" s="77"/>
      <c r="J226" s="77"/>
    </row>
    <row r="227" spans="1:10" ht="13.5" thickBot="1" x14ac:dyDescent="0.25">
      <c r="A227" s="14" t="s">
        <v>53</v>
      </c>
      <c r="B227" s="15" t="s">
        <v>17</v>
      </c>
      <c r="C227" s="85">
        <f>B198</f>
        <v>3759.4986428571433</v>
      </c>
      <c r="D227" s="16">
        <f>E226</f>
        <v>0.29249999999999998</v>
      </c>
      <c r="E227" s="16">
        <f>IFERROR(C227*D227,0)</f>
        <v>1099.6533530357144</v>
      </c>
      <c r="I227" s="77"/>
      <c r="J227" s="77"/>
    </row>
    <row r="228" spans="1:10" ht="13.5" thickBot="1" x14ac:dyDescent="0.25">
      <c r="F228" s="19">
        <f>E227</f>
        <v>1099.6533530357144</v>
      </c>
      <c r="I228" s="77"/>
      <c r="J228" s="77"/>
    </row>
    <row r="229" spans="1:10" ht="11.25" customHeight="1" x14ac:dyDescent="0.2">
      <c r="I229" s="77"/>
      <c r="J229" s="77"/>
    </row>
    <row r="230" spans="1:10" ht="11.25" customHeight="1" thickBot="1" x14ac:dyDescent="0.25">
      <c r="G230" s="7"/>
    </row>
    <row r="231" spans="1:10" ht="13.5" thickBot="1" x14ac:dyDescent="0.25">
      <c r="A231" s="22" t="s">
        <v>225</v>
      </c>
      <c r="B231" s="23"/>
      <c r="C231" s="23"/>
      <c r="D231" s="24"/>
      <c r="E231" s="25"/>
      <c r="F231" s="19">
        <f>+SUM(F158:F230)</f>
        <v>21337.323209996906</v>
      </c>
      <c r="G231" s="7"/>
    </row>
    <row r="232" spans="1:10" ht="11.25" customHeight="1" x14ac:dyDescent="0.2">
      <c r="G232" s="7"/>
    </row>
    <row r="233" spans="1:10" ht="13.5" thickBot="1" x14ac:dyDescent="0.25">
      <c r="A233" s="9" t="s">
        <v>72</v>
      </c>
      <c r="B233" s="9"/>
      <c r="C233" s="9"/>
      <c r="D233" s="32"/>
      <c r="E233" s="32"/>
      <c r="F233" s="31"/>
      <c r="G233" s="7"/>
    </row>
    <row r="234" spans="1:10" ht="13.5" thickBot="1" x14ac:dyDescent="0.25">
      <c r="A234" s="54" t="s">
        <v>60</v>
      </c>
      <c r="B234" s="55" t="s">
        <v>61</v>
      </c>
      <c r="C234" s="55" t="s">
        <v>38</v>
      </c>
      <c r="D234" s="56" t="s">
        <v>231</v>
      </c>
      <c r="E234" s="56" t="s">
        <v>62</v>
      </c>
      <c r="F234" s="57" t="s">
        <v>63</v>
      </c>
      <c r="G234" s="7"/>
    </row>
    <row r="235" spans="1:10" x14ac:dyDescent="0.2">
      <c r="A235" s="14" t="s">
        <v>69</v>
      </c>
      <c r="B235" s="15" t="s">
        <v>9</v>
      </c>
      <c r="C235" s="91">
        <v>0.16666666666666666</v>
      </c>
      <c r="D235" s="79">
        <v>30</v>
      </c>
      <c r="E235" s="16">
        <f t="shared" ref="E235:E240" si="7">C235*D235</f>
        <v>5</v>
      </c>
      <c r="F235" s="49"/>
      <c r="G235" s="7"/>
    </row>
    <row r="236" spans="1:10" x14ac:dyDescent="0.2">
      <c r="A236" s="14" t="s">
        <v>27</v>
      </c>
      <c r="B236" s="15" t="s">
        <v>9</v>
      </c>
      <c r="C236" s="91">
        <v>0.16666666666666666</v>
      </c>
      <c r="D236" s="79">
        <v>30</v>
      </c>
      <c r="E236" s="16">
        <f t="shared" si="7"/>
        <v>5</v>
      </c>
      <c r="F236" s="49"/>
      <c r="G236" s="7"/>
    </row>
    <row r="237" spans="1:10" x14ac:dyDescent="0.2">
      <c r="A237" s="14" t="s">
        <v>28</v>
      </c>
      <c r="B237" s="15" t="s">
        <v>9</v>
      </c>
      <c r="C237" s="91">
        <v>0.16666666666666666</v>
      </c>
      <c r="D237" s="79">
        <v>25</v>
      </c>
      <c r="E237" s="16">
        <f t="shared" si="7"/>
        <v>4.1666666666666661</v>
      </c>
      <c r="F237" s="49"/>
      <c r="G237" s="7"/>
    </row>
    <row r="238" spans="1:10" x14ac:dyDescent="0.2">
      <c r="A238" s="270" t="s">
        <v>340</v>
      </c>
      <c r="B238" s="271" t="s">
        <v>341</v>
      </c>
      <c r="C238" s="91">
        <f>C97*2</f>
        <v>38</v>
      </c>
      <c r="D238" s="79">
        <v>11.6</v>
      </c>
      <c r="E238" s="16">
        <f t="shared" si="7"/>
        <v>440.8</v>
      </c>
      <c r="F238" s="49"/>
      <c r="G238" s="7"/>
    </row>
    <row r="239" spans="1:10" ht="13.5" thickBot="1" x14ac:dyDescent="0.25">
      <c r="A239" s="270" t="s">
        <v>342</v>
      </c>
      <c r="B239" s="271" t="s">
        <v>341</v>
      </c>
      <c r="C239" s="91">
        <v>4</v>
      </c>
      <c r="D239" s="79">
        <v>160</v>
      </c>
      <c r="E239" s="16">
        <f t="shared" si="7"/>
        <v>640</v>
      </c>
      <c r="F239" s="49"/>
      <c r="G239" s="7"/>
    </row>
    <row r="240" spans="1:10" ht="13.5" thickBot="1" x14ac:dyDescent="0.25">
      <c r="A240" s="270" t="s">
        <v>449</v>
      </c>
      <c r="B240" s="271" t="s">
        <v>448</v>
      </c>
      <c r="C240" s="91">
        <f>C97*12</f>
        <v>228</v>
      </c>
      <c r="D240" s="79">
        <v>2.4</v>
      </c>
      <c r="E240" s="16">
        <f t="shared" si="7"/>
        <v>547.19999999999993</v>
      </c>
      <c r="F240" s="49"/>
      <c r="G240" s="7"/>
    </row>
    <row r="241" spans="1:7" ht="13.5" thickBot="1" x14ac:dyDescent="0.25">
      <c r="A241" s="9"/>
      <c r="B241" s="9"/>
      <c r="C241" s="9"/>
      <c r="D241" s="9"/>
      <c r="E241" s="32"/>
      <c r="F241" s="19">
        <f>SUM(E235:E240)</f>
        <v>1642.1666666666665</v>
      </c>
      <c r="G241" s="7"/>
    </row>
    <row r="242" spans="1:7" ht="11.25" customHeight="1" thickBot="1" x14ac:dyDescent="0.25">
      <c r="G242" s="7"/>
    </row>
    <row r="243" spans="1:7" ht="13.5" thickBot="1" x14ac:dyDescent="0.25">
      <c r="A243" s="22" t="s">
        <v>226</v>
      </c>
      <c r="B243" s="23"/>
      <c r="C243" s="23"/>
      <c r="D243" s="24"/>
      <c r="E243" s="25"/>
      <c r="F243" s="19">
        <f>+F241</f>
        <v>1642.1666666666665</v>
      </c>
      <c r="G243" s="7"/>
    </row>
    <row r="244" spans="1:7" ht="11.25" customHeight="1" x14ac:dyDescent="0.2">
      <c r="G244" s="7"/>
    </row>
    <row r="245" spans="1:7" x14ac:dyDescent="0.2">
      <c r="A245" s="9" t="s">
        <v>73</v>
      </c>
      <c r="B245" s="9"/>
      <c r="C245" s="9"/>
      <c r="D245" s="32"/>
      <c r="E245" s="32"/>
      <c r="F245" s="31"/>
    </row>
    <row r="246" spans="1:7" ht="11.25" customHeight="1" thickBot="1" x14ac:dyDescent="0.25"/>
    <row r="247" spans="1:7" ht="13.5" thickBot="1" x14ac:dyDescent="0.25">
      <c r="A247" s="54" t="s">
        <v>60</v>
      </c>
      <c r="B247" s="55" t="s">
        <v>61</v>
      </c>
      <c r="C247" s="55" t="s">
        <v>38</v>
      </c>
      <c r="D247" s="56" t="s">
        <v>231</v>
      </c>
      <c r="E247" s="56" t="s">
        <v>62</v>
      </c>
      <c r="F247" s="57" t="s">
        <v>63</v>
      </c>
    </row>
    <row r="248" spans="1:7" x14ac:dyDescent="0.2">
      <c r="A248" s="14" t="s">
        <v>223</v>
      </c>
      <c r="B248" s="48" t="s">
        <v>55</v>
      </c>
      <c r="C248" s="63">
        <f>C158</f>
        <v>1</v>
      </c>
      <c r="D248" s="81">
        <v>600</v>
      </c>
      <c r="E248" s="16">
        <f>+D248*C248</f>
        <v>600</v>
      </c>
      <c r="F248" s="49"/>
    </row>
    <row r="249" spans="1:7" x14ac:dyDescent="0.2">
      <c r="A249" s="14" t="s">
        <v>57</v>
      </c>
      <c r="B249" s="48" t="s">
        <v>7</v>
      </c>
      <c r="C249" s="15">
        <v>60</v>
      </c>
      <c r="D249" s="74">
        <f>SUM(E248:E248)</f>
        <v>600</v>
      </c>
      <c r="E249" s="74">
        <f>+D249/C249</f>
        <v>10</v>
      </c>
      <c r="F249" s="49"/>
    </row>
    <row r="250" spans="1:7" x14ac:dyDescent="0.2">
      <c r="A250" s="14" t="s">
        <v>224</v>
      </c>
      <c r="B250" s="15" t="s">
        <v>9</v>
      </c>
      <c r="C250" s="63">
        <f>+C248</f>
        <v>1</v>
      </c>
      <c r="D250" s="81">
        <v>100</v>
      </c>
      <c r="E250" s="16">
        <f>C250*D250</f>
        <v>100</v>
      </c>
      <c r="F250" s="49"/>
    </row>
    <row r="251" spans="1:7" ht="13.5" thickBot="1" x14ac:dyDescent="0.25">
      <c r="A251" s="14" t="s">
        <v>35</v>
      </c>
      <c r="B251" s="48" t="s">
        <v>7</v>
      </c>
      <c r="C251" s="15">
        <v>1</v>
      </c>
      <c r="D251" s="74">
        <f>+E250</f>
        <v>100</v>
      </c>
      <c r="E251" s="74">
        <f>+D251/C251</f>
        <v>100</v>
      </c>
      <c r="F251" s="49"/>
    </row>
    <row r="252" spans="1:7" ht="13.5" thickBot="1" x14ac:dyDescent="0.25">
      <c r="A252" s="10"/>
      <c r="B252" s="10"/>
      <c r="C252" s="10"/>
      <c r="D252" s="112" t="s">
        <v>192</v>
      </c>
      <c r="E252" s="46">
        <f>E83</f>
        <v>1</v>
      </c>
      <c r="F252" s="19">
        <f>(E249+E251)*E252</f>
        <v>110</v>
      </c>
    </row>
    <row r="253" spans="1:7" s="47" customFormat="1" ht="11.25" customHeight="1" thickBot="1" x14ac:dyDescent="0.25">
      <c r="A253" s="7"/>
      <c r="B253" s="7"/>
      <c r="C253" s="7"/>
      <c r="D253" s="8"/>
      <c r="E253" s="8"/>
      <c r="F253" s="8"/>
      <c r="G253" s="76"/>
    </row>
    <row r="254" spans="1:7" ht="13.5" thickBot="1" x14ac:dyDescent="0.25">
      <c r="A254" s="22" t="s">
        <v>222</v>
      </c>
      <c r="B254" s="23"/>
      <c r="C254" s="23"/>
      <c r="D254" s="24"/>
      <c r="E254" s="25"/>
      <c r="F254" s="19">
        <f>+F252</f>
        <v>110</v>
      </c>
    </row>
    <row r="255" spans="1:7" ht="11.25" customHeight="1" thickBot="1" x14ac:dyDescent="0.25"/>
    <row r="256" spans="1:7" ht="17.25" customHeight="1" thickBot="1" x14ac:dyDescent="0.25">
      <c r="A256" s="22" t="s">
        <v>227</v>
      </c>
      <c r="B256" s="26"/>
      <c r="C256" s="26"/>
      <c r="D256" s="27"/>
      <c r="E256" s="28"/>
      <c r="F256" s="20">
        <f>+F118+F152+F231+F243+F254</f>
        <v>37504.557892512057</v>
      </c>
    </row>
    <row r="257" spans="1:7" ht="11.25" customHeight="1" x14ac:dyDescent="0.2"/>
    <row r="258" spans="1:7" x14ac:dyDescent="0.2">
      <c r="A258" s="9" t="s">
        <v>343</v>
      </c>
    </row>
    <row r="259" spans="1:7" ht="11.25" customHeight="1" thickBot="1" x14ac:dyDescent="0.25"/>
    <row r="260" spans="1:7" ht="13.5" thickBot="1" x14ac:dyDescent="0.25">
      <c r="A260" s="54" t="s">
        <v>60</v>
      </c>
      <c r="B260" s="55" t="s">
        <v>61</v>
      </c>
      <c r="C260" s="55" t="s">
        <v>38</v>
      </c>
      <c r="D260" s="56" t="s">
        <v>231</v>
      </c>
      <c r="E260" s="56" t="s">
        <v>62</v>
      </c>
      <c r="F260" s="57" t="s">
        <v>63</v>
      </c>
    </row>
    <row r="261" spans="1:7" ht="13.5" thickBot="1" x14ac:dyDescent="0.25">
      <c r="A261" s="11" t="s">
        <v>34</v>
      </c>
      <c r="B261" s="12" t="s">
        <v>1</v>
      </c>
      <c r="C261" s="128">
        <f>'6.BDI Coleta'!C18*100</f>
        <v>26.11</v>
      </c>
      <c r="D261" s="13">
        <f>+F256</f>
        <v>37504.557892512057</v>
      </c>
      <c r="E261" s="13">
        <f>C261*D261/100</f>
        <v>9792.4400657348979</v>
      </c>
    </row>
    <row r="262" spans="1:7" ht="13.5" thickBot="1" x14ac:dyDescent="0.25">
      <c r="F262" s="19">
        <f>+E261</f>
        <v>9792.4400657348979</v>
      </c>
    </row>
    <row r="263" spans="1:7" ht="11.25" customHeight="1" thickBot="1" x14ac:dyDescent="0.25"/>
    <row r="264" spans="1:7" ht="13.5" thickBot="1" x14ac:dyDescent="0.25">
      <c r="A264" s="22" t="s">
        <v>236</v>
      </c>
      <c r="B264" s="26"/>
      <c r="C264" s="26"/>
      <c r="D264" s="27"/>
      <c r="E264" s="28"/>
      <c r="F264" s="20">
        <f>F262</f>
        <v>9792.4400657348979</v>
      </c>
    </row>
    <row r="265" spans="1:7" x14ac:dyDescent="0.2">
      <c r="A265" s="9"/>
      <c r="B265" s="9"/>
      <c r="C265" s="9"/>
      <c r="D265" s="32"/>
      <c r="E265" s="32"/>
      <c r="F265" s="31"/>
    </row>
    <row r="266" spans="1:7" ht="11.25" customHeight="1" thickBot="1" x14ac:dyDescent="0.25"/>
    <row r="267" spans="1:7" ht="24.75" customHeight="1" thickBot="1" x14ac:dyDescent="0.25">
      <c r="A267" s="22" t="s">
        <v>228</v>
      </c>
      <c r="B267" s="26"/>
      <c r="C267" s="26"/>
      <c r="D267" s="27"/>
      <c r="E267" s="28"/>
      <c r="F267" s="20">
        <f>F256+F264</f>
        <v>47296.997958246953</v>
      </c>
    </row>
    <row r="268" spans="1:7" ht="12.6" customHeight="1" x14ac:dyDescent="0.2">
      <c r="A268" s="50"/>
      <c r="B268" s="50"/>
      <c r="C268" s="50"/>
      <c r="D268" s="291"/>
      <c r="E268" s="291"/>
      <c r="F268" s="51"/>
    </row>
    <row r="269" spans="1:7" ht="14.25" hidden="1" x14ac:dyDescent="0.2">
      <c r="A269" s="6"/>
      <c r="B269" s="6"/>
      <c r="C269" s="6"/>
      <c r="D269" s="33"/>
      <c r="E269" s="33"/>
    </row>
    <row r="270" spans="1:7" ht="16.149999999999999" hidden="1" customHeight="1" x14ac:dyDescent="0.2">
      <c r="A270" s="226" t="s">
        <v>221</v>
      </c>
      <c r="B270" s="227"/>
      <c r="C270" s="227"/>
      <c r="D270" s="228"/>
      <c r="E270" s="229" t="s">
        <v>26</v>
      </c>
      <c r="G270" s="8" t="s">
        <v>201</v>
      </c>
    </row>
    <row r="271" spans="1:7" ht="13.5" hidden="1" thickBot="1" x14ac:dyDescent="0.25"/>
    <row r="272" spans="1:7" ht="25.5" hidden="1" customHeight="1" thickBot="1" x14ac:dyDescent="0.25">
      <c r="A272" s="22" t="s">
        <v>67</v>
      </c>
      <c r="B272" s="23"/>
      <c r="C272" s="23"/>
      <c r="D272" s="24"/>
      <c r="E272" s="230" t="s">
        <v>32</v>
      </c>
      <c r="F272" s="231" t="str">
        <f>IFERROR(F267/D270,"-")</f>
        <v>-</v>
      </c>
      <c r="G272" s="8" t="s">
        <v>201</v>
      </c>
    </row>
    <row r="273" spans="1:7" ht="12.6" hidden="1" customHeight="1" x14ac:dyDescent="0.2">
      <c r="A273" s="9"/>
      <c r="B273" s="9"/>
      <c r="C273" s="9"/>
      <c r="D273" s="32"/>
      <c r="E273" s="32"/>
      <c r="F273" s="32"/>
    </row>
    <row r="274" spans="1:7" s="2" customFormat="1" ht="9.75" hidden="1" customHeight="1" x14ac:dyDescent="0.2">
      <c r="A274" s="35"/>
      <c r="B274" s="8"/>
      <c r="C274" s="8"/>
      <c r="D274" s="8"/>
      <c r="E274" s="8"/>
      <c r="F274" s="8"/>
      <c r="G274" s="4"/>
    </row>
    <row r="275" spans="1:7" s="2" customFormat="1" ht="9.75" hidden="1" customHeight="1" x14ac:dyDescent="0.2">
      <c r="A275" s="35"/>
      <c r="B275" s="8"/>
      <c r="C275" s="8"/>
      <c r="D275" s="8"/>
      <c r="E275" s="8"/>
      <c r="F275" s="8"/>
      <c r="G275" s="4"/>
    </row>
    <row r="276" spans="1:7" s="2" customFormat="1" ht="9.75" customHeight="1" x14ac:dyDescent="0.2">
      <c r="A276" s="35"/>
      <c r="B276" s="8"/>
      <c r="C276" s="8"/>
      <c r="D276" s="8"/>
      <c r="E276" s="8"/>
      <c r="F276" s="8"/>
      <c r="G276" s="4"/>
    </row>
    <row r="306" spans="4:7" ht="9" customHeight="1" x14ac:dyDescent="0.2">
      <c r="D306" s="7"/>
      <c r="E306" s="7"/>
      <c r="F306" s="7"/>
      <c r="G306" s="7"/>
    </row>
  </sheetData>
  <mergeCells count="7">
    <mergeCell ref="A39:D39"/>
    <mergeCell ref="A16:C16"/>
    <mergeCell ref="A2:F2"/>
    <mergeCell ref="A3:F3"/>
    <mergeCell ref="A32:D32"/>
    <mergeCell ref="A5:F5"/>
    <mergeCell ref="A31:E31"/>
  </mergeCells>
  <phoneticPr fontId="17" type="noConversion"/>
  <hyperlinks>
    <hyperlink ref="A172" location="AbaRemun" display="3.1.2. Remuneração do Capital"/>
    <hyperlink ref="A156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5" fitToHeight="4" orientation="portrait" verticalDpi="300" r:id="rId1"/>
  <headerFooter alignWithMargins="0">
    <oddFooter>&amp;R&amp;P de &amp;N</oddFooter>
  </headerFooter>
  <rowBreaks count="2" manualBreakCount="2">
    <brk id="153" max="5" man="1"/>
    <brk id="22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view="pageBreakPreview" topLeftCell="A7" zoomScaleSheetLayoutView="100" workbookViewId="0">
      <selection activeCell="G17" sqref="G17"/>
    </sheetView>
  </sheetViews>
  <sheetFormatPr defaultColWidth="9.140625" defaultRowHeight="12.75" x14ac:dyDescent="0.2"/>
  <cols>
    <col min="1" max="1" width="44.5703125" style="5" customWidth="1"/>
    <col min="2" max="2" width="16" style="5" bestFit="1" customWidth="1"/>
    <col min="3" max="3" width="11.85546875" style="5" customWidth="1"/>
    <col min="4" max="4" width="14.7109375" style="296" customWidth="1"/>
    <col min="5" max="5" width="15.42578125" style="296" customWidth="1"/>
    <col min="6" max="6" width="13.28515625" style="296" customWidth="1"/>
    <col min="7" max="7" width="28.140625" style="296" customWidth="1"/>
    <col min="8" max="8" width="9.140625" style="5"/>
    <col min="9" max="9" width="14.5703125" style="5" customWidth="1"/>
    <col min="10" max="10" width="13.42578125" style="5" customWidth="1"/>
    <col min="11" max="16384" width="9.140625" style="5"/>
  </cols>
  <sheetData>
    <row r="1" spans="1:7" hidden="1" x14ac:dyDescent="0.2">
      <c r="A1" s="9" t="s">
        <v>199</v>
      </c>
    </row>
    <row r="2" spans="1:7" hidden="1" x14ac:dyDescent="0.2">
      <c r="A2" s="304" t="s">
        <v>303</v>
      </c>
    </row>
    <row r="3" spans="1:7" s="2" customFormat="1" ht="15.6" hidden="1" customHeight="1" x14ac:dyDescent="0.2">
      <c r="A3" s="5" t="s">
        <v>200</v>
      </c>
      <c r="C3" s="3"/>
      <c r="D3" s="3"/>
      <c r="E3" s="3"/>
      <c r="F3" s="3"/>
      <c r="G3" s="4"/>
    </row>
    <row r="4" spans="1:7" s="2" customFormat="1" ht="15.6" hidden="1" customHeight="1" x14ac:dyDescent="0.2">
      <c r="A4" s="304" t="s">
        <v>304</v>
      </c>
      <c r="B4" s="3"/>
      <c r="C4" s="3"/>
      <c r="D4" s="3"/>
      <c r="E4" s="3"/>
      <c r="F4" s="3"/>
      <c r="G4" s="4"/>
    </row>
    <row r="5" spans="1:7" s="2" customFormat="1" ht="15.6" hidden="1" customHeight="1" x14ac:dyDescent="0.2">
      <c r="A5" s="305"/>
      <c r="B5" s="306"/>
      <c r="C5" s="306"/>
      <c r="D5" s="306"/>
      <c r="E5" s="306"/>
      <c r="F5" s="3"/>
      <c r="G5" s="4"/>
    </row>
    <row r="6" spans="1:7" s="2" customFormat="1" ht="15.6" hidden="1" customHeight="1" x14ac:dyDescent="0.2">
      <c r="A6" s="305"/>
      <c r="B6" s="306"/>
      <c r="C6" s="306"/>
      <c r="D6" s="306"/>
      <c r="E6" s="306"/>
      <c r="F6" s="3"/>
      <c r="G6" s="4"/>
    </row>
    <row r="7" spans="1:7" s="2" customFormat="1" ht="22.5" customHeight="1" thickBot="1" x14ac:dyDescent="0.25">
      <c r="A7" s="135" t="s">
        <v>331</v>
      </c>
      <c r="B7" s="306"/>
      <c r="C7" s="306"/>
      <c r="D7" s="307"/>
      <c r="E7" s="307"/>
      <c r="F7" s="4"/>
      <c r="G7" s="4"/>
    </row>
    <row r="8" spans="1:7" s="6" customFormat="1" ht="18" x14ac:dyDescent="0.2">
      <c r="A8" s="494" t="s">
        <v>333</v>
      </c>
      <c r="B8" s="495"/>
      <c r="C8" s="495"/>
      <c r="D8" s="495"/>
      <c r="E8" s="495"/>
      <c r="F8" s="496"/>
      <c r="G8" s="33"/>
    </row>
    <row r="9" spans="1:7" s="6" customFormat="1" ht="18.600000000000001" customHeight="1" x14ac:dyDescent="0.2">
      <c r="A9" s="497" t="s">
        <v>41</v>
      </c>
      <c r="B9" s="498"/>
      <c r="C9" s="498"/>
      <c r="D9" s="498"/>
      <c r="E9" s="498"/>
      <c r="F9" s="499"/>
      <c r="G9" s="33"/>
    </row>
    <row r="10" spans="1:7" s="2" customFormat="1" ht="7.15" customHeight="1" thickBot="1" x14ac:dyDescent="0.25">
      <c r="A10" s="136"/>
      <c r="B10" s="3"/>
      <c r="C10" s="3"/>
      <c r="D10" s="137"/>
      <c r="E10" s="137"/>
      <c r="F10" s="138"/>
      <c r="G10" s="4"/>
    </row>
    <row r="11" spans="1:7" s="2" customFormat="1" ht="15.75" customHeight="1" thickBot="1" x14ac:dyDescent="0.25">
      <c r="A11" s="503" t="s">
        <v>198</v>
      </c>
      <c r="B11" s="504"/>
      <c r="C11" s="504"/>
      <c r="D11" s="504"/>
      <c r="E11" s="504"/>
      <c r="F11" s="505"/>
      <c r="G11" s="4"/>
    </row>
    <row r="12" spans="1:7" s="2" customFormat="1" ht="15.75" customHeight="1" x14ac:dyDescent="0.2">
      <c r="A12" s="58" t="s">
        <v>197</v>
      </c>
      <c r="B12" s="36"/>
      <c r="C12" s="36"/>
      <c r="D12" s="235"/>
      <c r="E12" s="105" t="s">
        <v>36</v>
      </c>
      <c r="F12" s="37" t="s">
        <v>1</v>
      </c>
      <c r="G12" s="4"/>
    </row>
    <row r="13" spans="1:7" s="2" customFormat="1" ht="15.75" customHeight="1" x14ac:dyDescent="0.2">
      <c r="A13" s="125" t="str">
        <f>A27</f>
        <v xml:space="preserve">1. Contentores </v>
      </c>
      <c r="B13" s="42"/>
      <c r="C13" s="43"/>
      <c r="D13" s="43"/>
      <c r="E13" s="232">
        <f>SUM(E14:E16)</f>
        <v>5197.4999339999995</v>
      </c>
      <c r="F13" s="117">
        <f>IFERROR(E13/$E$18,0)</f>
        <v>0.79295852826897151</v>
      </c>
      <c r="G13" s="4"/>
    </row>
    <row r="14" spans="1:7" s="2" customFormat="1" ht="15.75" customHeight="1" x14ac:dyDescent="0.2">
      <c r="A14" s="59" t="str">
        <f>A29</f>
        <v>1.1.1. Depreciação</v>
      </c>
      <c r="B14" s="42"/>
      <c r="C14" s="43"/>
      <c r="D14" s="43"/>
      <c r="E14" s="233">
        <f>F43</f>
        <v>1800</v>
      </c>
      <c r="F14" s="308">
        <f>IFERROR(E14/$E$18,0)</f>
        <v>0.27461767561499095</v>
      </c>
      <c r="G14" s="4"/>
    </row>
    <row r="15" spans="1:7" s="2" customFormat="1" ht="15.75" customHeight="1" x14ac:dyDescent="0.2">
      <c r="A15" s="59" t="str">
        <f>A45</f>
        <v>1.1.2. Remuneração do Capital</v>
      </c>
      <c r="B15" s="42"/>
      <c r="C15" s="43"/>
      <c r="D15" s="43"/>
      <c r="E15" s="233">
        <f>F59</f>
        <v>1237.5</v>
      </c>
      <c r="F15" s="308">
        <f>IFERROR(E15/$E$18,0)</f>
        <v>0.18879965198530627</v>
      </c>
      <c r="G15" s="4"/>
    </row>
    <row r="16" spans="1:7" s="2" customFormat="1" ht="15.75" customHeight="1" x14ac:dyDescent="0.2">
      <c r="A16" s="59" t="str">
        <f>A87</f>
        <v xml:space="preserve">1.1.3 Lavagem e manutenção dos contentores </v>
      </c>
      <c r="B16" s="42"/>
      <c r="C16" s="43"/>
      <c r="D16" s="43"/>
      <c r="E16" s="233">
        <f>F93</f>
        <v>2159.9999339999999</v>
      </c>
      <c r="F16" s="308">
        <f>IFERROR(E16/$E$18,0)</f>
        <v>0.32954120066867437</v>
      </c>
      <c r="G16" s="4"/>
    </row>
    <row r="17" spans="1:7" s="9" customFormat="1" ht="15.75" customHeight="1" thickBot="1" x14ac:dyDescent="0.25">
      <c r="A17" s="125" t="str">
        <f>A97</f>
        <v>2. Benefícios e Despesas Indiretas - BDI</v>
      </c>
      <c r="B17" s="126"/>
      <c r="C17" s="116"/>
      <c r="D17" s="116"/>
      <c r="E17" s="234">
        <f>+F103</f>
        <v>1357.0672327673997</v>
      </c>
      <c r="F17" s="117">
        <f>IFERROR(E17/$E$18,0)</f>
        <v>0.20704147173102844</v>
      </c>
      <c r="G17" s="40"/>
    </row>
    <row r="18" spans="1:7" s="2" customFormat="1" ht="15.75" customHeight="1" thickBot="1" x14ac:dyDescent="0.25">
      <c r="A18" s="38" t="s">
        <v>235</v>
      </c>
      <c r="B18" s="39"/>
      <c r="C18" s="24"/>
      <c r="D18" s="24"/>
      <c r="E18" s="104">
        <f>E17+E13</f>
        <v>6554.5671667673996</v>
      </c>
      <c r="F18" s="130">
        <f>F13+F17</f>
        <v>1</v>
      </c>
      <c r="G18" s="4"/>
    </row>
    <row r="19" spans="1:7" ht="9" customHeight="1" x14ac:dyDescent="0.2"/>
    <row r="20" spans="1:7" s="2" customFormat="1" ht="5.45" customHeight="1" thickBot="1" x14ac:dyDescent="0.25">
      <c r="A20" s="118"/>
      <c r="B20" s="119"/>
      <c r="C20" s="309"/>
      <c r="D20" s="309"/>
      <c r="E20" s="310"/>
      <c r="F20" s="296"/>
      <c r="G20" s="4"/>
    </row>
    <row r="21" spans="1:7" s="2" customFormat="1" ht="15" customHeight="1" x14ac:dyDescent="0.2">
      <c r="A21" s="507" t="s">
        <v>305</v>
      </c>
      <c r="B21" s="508"/>
      <c r="C21" s="508"/>
      <c r="D21" s="509"/>
      <c r="E21" s="44" t="s">
        <v>38</v>
      </c>
      <c r="F21" s="5"/>
      <c r="G21" s="4"/>
    </row>
    <row r="22" spans="1:7" s="2" customFormat="1" ht="15" customHeight="1" x14ac:dyDescent="0.2">
      <c r="A22" s="311" t="str">
        <f>+A27</f>
        <v xml:space="preserve">1. Contentores </v>
      </c>
      <c r="B22" s="312"/>
      <c r="C22" s="312"/>
      <c r="D22" s="71"/>
      <c r="E22" s="313">
        <v>60</v>
      </c>
      <c r="F22" s="5"/>
      <c r="G22" s="4"/>
    </row>
    <row r="23" spans="1:7" s="2" customFormat="1" ht="15" customHeight="1" thickBot="1" x14ac:dyDescent="0.25">
      <c r="A23" s="65" t="s">
        <v>306</v>
      </c>
      <c r="B23" s="66"/>
      <c r="C23" s="66"/>
      <c r="D23" s="72"/>
      <c r="E23" s="73">
        <f>SUM(E22)</f>
        <v>60</v>
      </c>
      <c r="F23" s="5"/>
      <c r="G23" s="4"/>
    </row>
    <row r="24" spans="1:7" s="2" customFormat="1" ht="8.4499999999999993" customHeight="1" thickBot="1" x14ac:dyDescent="0.25">
      <c r="A24" s="309"/>
      <c r="B24" s="309"/>
      <c r="C24" s="309"/>
      <c r="D24" s="5"/>
      <c r="E24" s="314"/>
      <c r="F24" s="5"/>
      <c r="G24" s="4"/>
    </row>
    <row r="25" spans="1:7" s="9" customFormat="1" ht="15.75" customHeight="1" thickBot="1" x14ac:dyDescent="0.25">
      <c r="A25" s="236" t="s">
        <v>193</v>
      </c>
      <c r="B25" s="315">
        <v>1</v>
      </c>
      <c r="C25" s="32"/>
      <c r="E25" s="139"/>
      <c r="G25" s="40"/>
    </row>
    <row r="26" spans="1:7" x14ac:dyDescent="0.2">
      <c r="A26" s="9"/>
      <c r="B26" s="9"/>
      <c r="C26" s="9"/>
      <c r="D26" s="32"/>
      <c r="E26" s="32"/>
      <c r="F26" s="31"/>
      <c r="G26" s="5"/>
    </row>
    <row r="27" spans="1:7" x14ac:dyDescent="0.2">
      <c r="A27" s="9" t="s">
        <v>307</v>
      </c>
      <c r="G27" s="5"/>
    </row>
    <row r="28" spans="1:7" x14ac:dyDescent="0.2">
      <c r="G28" s="5"/>
    </row>
    <row r="29" spans="1:7" ht="13.5" thickBot="1" x14ac:dyDescent="0.25">
      <c r="A29" s="97" t="s">
        <v>308</v>
      </c>
      <c r="G29" s="5"/>
    </row>
    <row r="30" spans="1:7" ht="13.5" thickBot="1" x14ac:dyDescent="0.25">
      <c r="A30" s="54" t="s">
        <v>60</v>
      </c>
      <c r="B30" s="55" t="s">
        <v>61</v>
      </c>
      <c r="C30" s="55" t="s">
        <v>38</v>
      </c>
      <c r="D30" s="56" t="s">
        <v>231</v>
      </c>
      <c r="E30" s="56" t="s">
        <v>62</v>
      </c>
      <c r="F30" s="57" t="s">
        <v>63</v>
      </c>
      <c r="G30" s="5"/>
    </row>
    <row r="31" spans="1:7" x14ac:dyDescent="0.2">
      <c r="A31" s="293" t="s">
        <v>309</v>
      </c>
      <c r="B31" s="316" t="s">
        <v>9</v>
      </c>
      <c r="C31" s="316">
        <v>1</v>
      </c>
      <c r="D31" s="281">
        <v>1800</v>
      </c>
      <c r="E31" s="317">
        <f>C31*D31</f>
        <v>1800</v>
      </c>
      <c r="G31" s="5"/>
    </row>
    <row r="32" spans="1:7" x14ac:dyDescent="0.2">
      <c r="A32" s="270" t="s">
        <v>310</v>
      </c>
      <c r="B32" s="271" t="s">
        <v>100</v>
      </c>
      <c r="C32" s="271">
        <v>5</v>
      </c>
      <c r="D32" s="279"/>
      <c r="E32" s="277"/>
      <c r="G32" s="5"/>
    </row>
    <row r="33" spans="1:7" x14ac:dyDescent="0.2">
      <c r="A33" s="270" t="s">
        <v>311</v>
      </c>
      <c r="B33" s="271" t="s">
        <v>100</v>
      </c>
      <c r="C33" s="318">
        <v>0</v>
      </c>
      <c r="D33" s="279"/>
      <c r="E33" s="277"/>
      <c r="F33" s="319"/>
      <c r="G33" s="5"/>
    </row>
    <row r="34" spans="1:7" x14ac:dyDescent="0.2">
      <c r="A34" s="270" t="s">
        <v>312</v>
      </c>
      <c r="B34" s="271" t="s">
        <v>1</v>
      </c>
      <c r="C34" s="366">
        <v>100</v>
      </c>
      <c r="D34" s="279">
        <f>E31</f>
        <v>1800</v>
      </c>
      <c r="E34" s="277">
        <f>C34*D34/100</f>
        <v>1800</v>
      </c>
      <c r="G34" s="5"/>
    </row>
    <row r="35" spans="1:7" ht="13.5" thickBot="1" x14ac:dyDescent="0.25">
      <c r="A35" s="254" t="s">
        <v>313</v>
      </c>
      <c r="B35" s="255" t="s">
        <v>7</v>
      </c>
      <c r="C35" s="255">
        <f>C32*12</f>
        <v>60</v>
      </c>
      <c r="D35" s="257">
        <f>IF(C33&lt;=C32,E34,0)</f>
        <v>1800</v>
      </c>
      <c r="E35" s="256">
        <f>IFERROR(D35/C35,0)</f>
        <v>30</v>
      </c>
      <c r="G35" s="5"/>
    </row>
    <row r="36" spans="1:7" ht="13.5" hidden="1" thickTop="1" x14ac:dyDescent="0.2">
      <c r="A36" s="293" t="s">
        <v>104</v>
      </c>
      <c r="B36" s="316" t="s">
        <v>9</v>
      </c>
      <c r="C36" s="316"/>
      <c r="D36" s="320">
        <v>40000</v>
      </c>
      <c r="E36" s="317">
        <f>C36*D36</f>
        <v>0</v>
      </c>
      <c r="G36" s="5"/>
    </row>
    <row r="37" spans="1:7" ht="13.5" hidden="1" thickTop="1" x14ac:dyDescent="0.2">
      <c r="A37" s="270" t="s">
        <v>101</v>
      </c>
      <c r="B37" s="271" t="s">
        <v>100</v>
      </c>
      <c r="C37" s="271">
        <v>5</v>
      </c>
      <c r="D37" s="279"/>
      <c r="E37" s="277"/>
      <c r="G37" s="5"/>
    </row>
    <row r="38" spans="1:7" ht="13.5" hidden="1" thickTop="1" x14ac:dyDescent="0.2">
      <c r="A38" s="270" t="s">
        <v>210</v>
      </c>
      <c r="B38" s="271" t="s">
        <v>100</v>
      </c>
      <c r="C38" s="271">
        <v>3</v>
      </c>
      <c r="D38" s="279"/>
      <c r="E38" s="277"/>
      <c r="F38" s="319"/>
      <c r="G38" s="5"/>
    </row>
    <row r="39" spans="1:7" ht="13.5" hidden="1" thickTop="1" x14ac:dyDescent="0.2">
      <c r="A39" s="270" t="s">
        <v>102</v>
      </c>
      <c r="B39" s="271" t="s">
        <v>1</v>
      </c>
      <c r="C39" s="321">
        <v>0</v>
      </c>
      <c r="D39" s="279">
        <f>E36</f>
        <v>0</v>
      </c>
      <c r="E39" s="277">
        <f>C39*D39/100</f>
        <v>0</v>
      </c>
      <c r="G39" s="5"/>
    </row>
    <row r="40" spans="1:7" ht="13.5" hidden="1" thickTop="1" x14ac:dyDescent="0.2">
      <c r="A40" s="93" t="s">
        <v>106</v>
      </c>
      <c r="B40" s="94" t="s">
        <v>7</v>
      </c>
      <c r="C40" s="94">
        <f>C37*12</f>
        <v>60</v>
      </c>
      <c r="D40" s="103">
        <f>IF(C38&lt;=C37,E39,0)</f>
        <v>0</v>
      </c>
      <c r="E40" s="95">
        <f>IFERROR(D40/C40,0)</f>
        <v>0</v>
      </c>
      <c r="G40" s="5"/>
    </row>
    <row r="41" spans="1:7" ht="13.5" hidden="1" thickTop="1" x14ac:dyDescent="0.2">
      <c r="A41" s="106" t="s">
        <v>251</v>
      </c>
      <c r="B41" s="107"/>
      <c r="C41" s="107"/>
      <c r="D41" s="322"/>
      <c r="E41" s="109">
        <f>E35+E40</f>
        <v>30</v>
      </c>
      <c r="G41" s="5"/>
    </row>
    <row r="42" spans="1:7" ht="14.25" thickTop="1" thickBot="1" x14ac:dyDescent="0.25">
      <c r="A42" s="93" t="s">
        <v>314</v>
      </c>
      <c r="B42" s="94" t="s">
        <v>9</v>
      </c>
      <c r="C42" s="323">
        <f>E23</f>
        <v>60</v>
      </c>
      <c r="D42" s="103">
        <f>E41</f>
        <v>30</v>
      </c>
      <c r="E42" s="109">
        <f>C42*D42</f>
        <v>1800</v>
      </c>
      <c r="G42" s="5"/>
    </row>
    <row r="43" spans="1:7" ht="13.5" thickBot="1" x14ac:dyDescent="0.25">
      <c r="A43" s="249"/>
      <c r="B43" s="249"/>
      <c r="C43" s="249"/>
      <c r="D43" s="301" t="s">
        <v>192</v>
      </c>
      <c r="E43" s="324">
        <f>$B$25</f>
        <v>1</v>
      </c>
      <c r="F43" s="19">
        <f>E42*E43</f>
        <v>1800</v>
      </c>
      <c r="G43" s="5"/>
    </row>
    <row r="44" spans="1:7" x14ac:dyDescent="0.2">
      <c r="G44" s="5"/>
    </row>
    <row r="45" spans="1:7" ht="13.5" thickBot="1" x14ac:dyDescent="0.25">
      <c r="A45" s="97" t="s">
        <v>315</v>
      </c>
      <c r="G45" s="5"/>
    </row>
    <row r="46" spans="1:7" ht="13.5" thickBot="1" x14ac:dyDescent="0.25">
      <c r="A46" s="99" t="s">
        <v>60</v>
      </c>
      <c r="B46" s="100" t="s">
        <v>61</v>
      </c>
      <c r="C46" s="100" t="s">
        <v>38</v>
      </c>
      <c r="D46" s="56" t="s">
        <v>231</v>
      </c>
      <c r="E46" s="101" t="s">
        <v>62</v>
      </c>
      <c r="F46" s="57" t="s">
        <v>63</v>
      </c>
      <c r="G46" s="5"/>
    </row>
    <row r="47" spans="1:7" x14ac:dyDescent="0.2">
      <c r="A47" s="270" t="s">
        <v>316</v>
      </c>
      <c r="B47" s="271" t="s">
        <v>9</v>
      </c>
      <c r="C47" s="316">
        <v>1</v>
      </c>
      <c r="D47" s="277">
        <f>D31</f>
        <v>1800</v>
      </c>
      <c r="E47" s="277">
        <f>C47*D47</f>
        <v>1800</v>
      </c>
      <c r="F47" s="319"/>
      <c r="G47" s="5"/>
    </row>
    <row r="48" spans="1:7" x14ac:dyDescent="0.2">
      <c r="A48" s="270" t="s">
        <v>213</v>
      </c>
      <c r="B48" s="271" t="s">
        <v>1</v>
      </c>
      <c r="C48" s="318">
        <v>13.75</v>
      </c>
      <c r="D48" s="277"/>
      <c r="E48" s="277"/>
      <c r="F48" s="319"/>
      <c r="G48" s="5"/>
    </row>
    <row r="49" spans="1:7" x14ac:dyDescent="0.2">
      <c r="A49" s="270" t="s">
        <v>317</v>
      </c>
      <c r="B49" s="271" t="s">
        <v>33</v>
      </c>
      <c r="C49" s="325">
        <f>IFERROR(IF(C33&lt;=C32,E31-(C34/(100*C32)*C33)*E31,E31-E34),0)</f>
        <v>1800</v>
      </c>
      <c r="D49" s="277"/>
      <c r="E49" s="277"/>
      <c r="F49" s="319"/>
      <c r="G49" s="5"/>
    </row>
    <row r="50" spans="1:7" x14ac:dyDescent="0.2">
      <c r="A50" s="270" t="s">
        <v>318</v>
      </c>
      <c r="B50" s="271" t="s">
        <v>33</v>
      </c>
      <c r="C50" s="279">
        <f>D47</f>
        <v>1800</v>
      </c>
      <c r="D50" s="277"/>
      <c r="E50" s="277"/>
      <c r="F50" s="319"/>
      <c r="G50" s="5"/>
    </row>
    <row r="51" spans="1:7" ht="13.5" thickBot="1" x14ac:dyDescent="0.25">
      <c r="A51" s="254" t="s">
        <v>319</v>
      </c>
      <c r="B51" s="255" t="s">
        <v>33</v>
      </c>
      <c r="C51" s="255"/>
      <c r="D51" s="257">
        <f>C48*C50/12/100</f>
        <v>20.625</v>
      </c>
      <c r="E51" s="256">
        <f>D51</f>
        <v>20.625</v>
      </c>
      <c r="F51" s="319"/>
      <c r="G51" s="5"/>
    </row>
    <row r="52" spans="1:7" ht="13.5" hidden="1" thickTop="1" x14ac:dyDescent="0.2">
      <c r="A52" s="293" t="s">
        <v>108</v>
      </c>
      <c r="B52" s="316" t="s">
        <v>9</v>
      </c>
      <c r="C52" s="316"/>
      <c r="D52" s="317"/>
      <c r="E52" s="317">
        <f>C52*D52</f>
        <v>0</v>
      </c>
      <c r="F52" s="319"/>
      <c r="G52" s="5"/>
    </row>
    <row r="53" spans="1:7" ht="13.5" hidden="1" thickTop="1" x14ac:dyDescent="0.2">
      <c r="A53" s="270" t="s">
        <v>213</v>
      </c>
      <c r="B53" s="271" t="s">
        <v>1</v>
      </c>
      <c r="C53" s="271"/>
      <c r="D53" s="277"/>
      <c r="E53" s="277"/>
      <c r="F53" s="319"/>
      <c r="G53" s="5"/>
    </row>
    <row r="54" spans="1:7" ht="13.5" hidden="1" thickTop="1" x14ac:dyDescent="0.2">
      <c r="A54" s="270" t="s">
        <v>212</v>
      </c>
      <c r="B54" s="271" t="s">
        <v>33</v>
      </c>
      <c r="C54" s="325">
        <f>IFERROR(IF(C38&lt;=C37,E36-(C39/(100*C37)*C38)*E36,E36-E39),0)</f>
        <v>0</v>
      </c>
      <c r="D54" s="277"/>
      <c r="E54" s="277"/>
      <c r="F54" s="319"/>
      <c r="G54" s="5"/>
    </row>
    <row r="55" spans="1:7" ht="13.5" hidden="1" thickTop="1" x14ac:dyDescent="0.2">
      <c r="A55" s="270" t="s">
        <v>113</v>
      </c>
      <c r="B55" s="271" t="s">
        <v>33</v>
      </c>
      <c r="C55" s="279">
        <f>IFERROR(IF(C38&gt;=C37,C54,((((C54)-(E36-E39))*(((C37-C38)+1)/(2*(C37-C38))))+(E36-E39))),0)</f>
        <v>0</v>
      </c>
      <c r="D55" s="277"/>
      <c r="E55" s="277"/>
      <c r="F55" s="319"/>
      <c r="G55" s="5"/>
    </row>
    <row r="56" spans="1:7" ht="13.5" hidden="1" thickTop="1" x14ac:dyDescent="0.2">
      <c r="A56" s="93" t="s">
        <v>110</v>
      </c>
      <c r="B56" s="94" t="s">
        <v>33</v>
      </c>
      <c r="C56" s="94"/>
      <c r="D56" s="103">
        <f>C53*C55/12/100</f>
        <v>0</v>
      </c>
      <c r="E56" s="95">
        <f>D56</f>
        <v>0</v>
      </c>
      <c r="F56" s="319"/>
      <c r="G56" s="5"/>
    </row>
    <row r="57" spans="1:7" ht="13.5" hidden="1" thickTop="1" x14ac:dyDescent="0.2">
      <c r="A57" s="106" t="s">
        <v>251</v>
      </c>
      <c r="B57" s="107"/>
      <c r="C57" s="107"/>
      <c r="D57" s="108"/>
      <c r="E57" s="109">
        <f>E51+E56</f>
        <v>20.625</v>
      </c>
      <c r="F57" s="319"/>
      <c r="G57" s="5"/>
    </row>
    <row r="58" spans="1:7" ht="14.25" thickTop="1" thickBot="1" x14ac:dyDescent="0.25">
      <c r="A58" s="93" t="s">
        <v>314</v>
      </c>
      <c r="B58" s="94" t="s">
        <v>9</v>
      </c>
      <c r="C58" s="271">
        <f>C42</f>
        <v>60</v>
      </c>
      <c r="D58" s="95">
        <f>E57</f>
        <v>20.625</v>
      </c>
      <c r="E58" s="109">
        <f>C58*D58</f>
        <v>1237.5</v>
      </c>
      <c r="F58" s="319"/>
      <c r="G58" s="5"/>
    </row>
    <row r="59" spans="1:7" ht="13.5" thickBot="1" x14ac:dyDescent="0.25">
      <c r="C59" s="326"/>
      <c r="D59" s="301" t="s">
        <v>192</v>
      </c>
      <c r="E59" s="324">
        <f>$B$25</f>
        <v>1</v>
      </c>
      <c r="F59" s="19">
        <f>E58*E59</f>
        <v>1237.5</v>
      </c>
      <c r="G59" s="5"/>
    </row>
    <row r="60" spans="1:7" x14ac:dyDescent="0.2">
      <c r="G60" s="5"/>
    </row>
    <row r="61" spans="1:7" hidden="1" x14ac:dyDescent="0.2">
      <c r="A61" s="5" t="s">
        <v>49</v>
      </c>
      <c r="G61" s="5"/>
    </row>
    <row r="62" spans="1:7" ht="13.5" hidden="1" thickBot="1" x14ac:dyDescent="0.25">
      <c r="A62" s="54" t="s">
        <v>60</v>
      </c>
      <c r="B62" s="55" t="s">
        <v>61</v>
      </c>
      <c r="C62" s="55" t="s">
        <v>38</v>
      </c>
      <c r="D62" s="56" t="s">
        <v>231</v>
      </c>
      <c r="E62" s="56" t="s">
        <v>62</v>
      </c>
      <c r="F62" s="57" t="s">
        <v>63</v>
      </c>
      <c r="G62" s="5"/>
    </row>
    <row r="63" spans="1:7" hidden="1" x14ac:dyDescent="0.2">
      <c r="A63" s="293" t="s">
        <v>11</v>
      </c>
      <c r="B63" s="316" t="s">
        <v>9</v>
      </c>
      <c r="C63" s="317"/>
      <c r="D63" s="317" t="e">
        <f>0.01*(#REF!)</f>
        <v>#REF!</v>
      </c>
      <c r="E63" s="317" t="e">
        <f>C63*D63</f>
        <v>#REF!</v>
      </c>
      <c r="G63" s="5"/>
    </row>
    <row r="64" spans="1:7" hidden="1" x14ac:dyDescent="0.2">
      <c r="A64" s="270" t="s">
        <v>191</v>
      </c>
      <c r="B64" s="271" t="s">
        <v>9</v>
      </c>
      <c r="C64" s="317"/>
      <c r="D64" s="295">
        <v>150</v>
      </c>
      <c r="E64" s="277">
        <f>C64*D64</f>
        <v>0</v>
      </c>
      <c r="G64" s="5"/>
    </row>
    <row r="65" spans="1:7" hidden="1" x14ac:dyDescent="0.2">
      <c r="A65" s="270" t="s">
        <v>12</v>
      </c>
      <c r="B65" s="271" t="s">
        <v>9</v>
      </c>
      <c r="C65" s="317"/>
      <c r="D65" s="295">
        <v>2200</v>
      </c>
      <c r="E65" s="277">
        <f>C65*D65</f>
        <v>0</v>
      </c>
      <c r="F65" s="29"/>
      <c r="G65" s="5"/>
    </row>
    <row r="66" spans="1:7" hidden="1" x14ac:dyDescent="0.2">
      <c r="A66" s="93" t="s">
        <v>13</v>
      </c>
      <c r="B66" s="94" t="s">
        <v>7</v>
      </c>
      <c r="C66" s="94">
        <v>12</v>
      </c>
      <c r="D66" s="95" t="e">
        <f>SUM(E63:E65)</f>
        <v>#REF!</v>
      </c>
      <c r="E66" s="95" t="e">
        <f>D66/C66</f>
        <v>#REF!</v>
      </c>
      <c r="G66" s="5"/>
    </row>
    <row r="67" spans="1:7" ht="13.5" hidden="1" thickBot="1" x14ac:dyDescent="0.25">
      <c r="D67" s="301" t="s">
        <v>192</v>
      </c>
      <c r="E67" s="324">
        <f>$B$25</f>
        <v>1</v>
      </c>
      <c r="F67" s="113" t="e">
        <f>E66*E67</f>
        <v>#REF!</v>
      </c>
      <c r="G67" s="5"/>
    </row>
    <row r="68" spans="1:7" hidden="1" x14ac:dyDescent="0.2">
      <c r="G68" s="5"/>
    </row>
    <row r="69" spans="1:7" hidden="1" x14ac:dyDescent="0.2">
      <c r="A69" s="5" t="s">
        <v>50</v>
      </c>
      <c r="B69" s="327"/>
      <c r="G69" s="5"/>
    </row>
    <row r="70" spans="1:7" hidden="1" x14ac:dyDescent="0.2">
      <c r="B70" s="327"/>
      <c r="G70" s="5"/>
    </row>
    <row r="71" spans="1:7" hidden="1" x14ac:dyDescent="0.2">
      <c r="A71" s="93" t="s">
        <v>115</v>
      </c>
      <c r="B71" s="328"/>
      <c r="G71" s="5"/>
    </row>
    <row r="72" spans="1:7" hidden="1" x14ac:dyDescent="0.2">
      <c r="B72" s="327"/>
      <c r="G72" s="5"/>
    </row>
    <row r="73" spans="1:7" ht="13.5" hidden="1" thickBot="1" x14ac:dyDescent="0.25">
      <c r="A73" s="54" t="s">
        <v>60</v>
      </c>
      <c r="B73" s="55" t="s">
        <v>61</v>
      </c>
      <c r="C73" s="55" t="s">
        <v>250</v>
      </c>
      <c r="D73" s="56" t="s">
        <v>231</v>
      </c>
      <c r="E73" s="56" t="s">
        <v>62</v>
      </c>
      <c r="F73" s="57" t="s">
        <v>63</v>
      </c>
      <c r="G73" s="5"/>
    </row>
    <row r="74" spans="1:7" hidden="1" x14ac:dyDescent="0.2">
      <c r="A74" s="293" t="s">
        <v>14</v>
      </c>
      <c r="B74" s="316" t="s">
        <v>15</v>
      </c>
      <c r="C74" s="329">
        <v>2.2000000000000002</v>
      </c>
      <c r="D74" s="330">
        <v>3.71</v>
      </c>
      <c r="E74" s="317"/>
      <c r="G74" s="5"/>
    </row>
    <row r="75" spans="1:7" hidden="1" x14ac:dyDescent="0.2">
      <c r="A75" s="270" t="s">
        <v>16</v>
      </c>
      <c r="B75" s="271" t="s">
        <v>17</v>
      </c>
      <c r="C75" s="331">
        <f>B71</f>
        <v>0</v>
      </c>
      <c r="D75" s="332">
        <f>IFERROR(+D74/C74,"-")</f>
        <v>1.6863636363636363</v>
      </c>
      <c r="E75" s="277">
        <f>IFERROR(C75*D75,"-")</f>
        <v>0</v>
      </c>
      <c r="G75" s="5"/>
    </row>
    <row r="76" spans="1:7" hidden="1" x14ac:dyDescent="0.2">
      <c r="A76" s="270" t="s">
        <v>232</v>
      </c>
      <c r="B76" s="271" t="s">
        <v>18</v>
      </c>
      <c r="C76" s="333">
        <v>6</v>
      </c>
      <c r="D76" s="295">
        <v>13</v>
      </c>
      <c r="E76" s="277"/>
      <c r="G76" s="5"/>
    </row>
    <row r="77" spans="1:7" hidden="1" x14ac:dyDescent="0.2">
      <c r="A77" s="270" t="s">
        <v>19</v>
      </c>
      <c r="B77" s="271" t="s">
        <v>17</v>
      </c>
      <c r="C77" s="331">
        <f>C75</f>
        <v>0</v>
      </c>
      <c r="D77" s="334">
        <f>+C76*D76/1000</f>
        <v>7.8E-2</v>
      </c>
      <c r="E77" s="277">
        <f>C77*D77</f>
        <v>0</v>
      </c>
      <c r="G77" s="5"/>
    </row>
    <row r="78" spans="1:7" hidden="1" x14ac:dyDescent="0.2">
      <c r="A78" s="270" t="s">
        <v>233</v>
      </c>
      <c r="B78" s="271" t="s">
        <v>18</v>
      </c>
      <c r="C78" s="333">
        <v>0.85</v>
      </c>
      <c r="D78" s="295">
        <v>15.8</v>
      </c>
      <c r="E78" s="277"/>
      <c r="G78" s="5"/>
    </row>
    <row r="79" spans="1:7" hidden="1" x14ac:dyDescent="0.2">
      <c r="A79" s="270" t="s">
        <v>20</v>
      </c>
      <c r="B79" s="271" t="s">
        <v>17</v>
      </c>
      <c r="C79" s="331">
        <f>C75</f>
        <v>0</v>
      </c>
      <c r="D79" s="334">
        <f>+C78*D78/1000</f>
        <v>1.3429999999999999E-2</v>
      </c>
      <c r="E79" s="277">
        <f>C79*D79</f>
        <v>0</v>
      </c>
      <c r="G79" s="5"/>
    </row>
    <row r="80" spans="1:7" hidden="1" x14ac:dyDescent="0.2">
      <c r="A80" s="270" t="s">
        <v>234</v>
      </c>
      <c r="B80" s="271" t="s">
        <v>18</v>
      </c>
      <c r="C80" s="333">
        <v>16</v>
      </c>
      <c r="D80" s="295">
        <v>8.25</v>
      </c>
      <c r="E80" s="277"/>
      <c r="G80" s="5"/>
    </row>
    <row r="81" spans="1:10" hidden="1" x14ac:dyDescent="0.2">
      <c r="A81" s="270" t="s">
        <v>21</v>
      </c>
      <c r="B81" s="271" t="s">
        <v>17</v>
      </c>
      <c r="C81" s="331">
        <f>C75</f>
        <v>0</v>
      </c>
      <c r="D81" s="334">
        <f>+C80*D80/1000</f>
        <v>0.13200000000000001</v>
      </c>
      <c r="E81" s="277">
        <f>C81*D81</f>
        <v>0</v>
      </c>
      <c r="G81" s="5"/>
    </row>
    <row r="82" spans="1:10" hidden="1" x14ac:dyDescent="0.2">
      <c r="A82" s="270" t="s">
        <v>22</v>
      </c>
      <c r="B82" s="271" t="s">
        <v>23</v>
      </c>
      <c r="C82" s="333">
        <v>2</v>
      </c>
      <c r="D82" s="295">
        <v>5.4</v>
      </c>
      <c r="E82" s="277"/>
      <c r="G82" s="5"/>
    </row>
    <row r="83" spans="1:10" hidden="1" x14ac:dyDescent="0.2">
      <c r="A83" s="270" t="s">
        <v>24</v>
      </c>
      <c r="B83" s="271" t="s">
        <v>17</v>
      </c>
      <c r="C83" s="331">
        <f>C75</f>
        <v>0</v>
      </c>
      <c r="D83" s="334">
        <f>+C82*D82/1000</f>
        <v>1.0800000000000001E-2</v>
      </c>
      <c r="E83" s="277">
        <f>C83*D83</f>
        <v>0</v>
      </c>
      <c r="G83" s="5"/>
    </row>
    <row r="84" spans="1:10" hidden="1" x14ac:dyDescent="0.2">
      <c r="A84" s="93" t="s">
        <v>249</v>
      </c>
      <c r="B84" s="94" t="s">
        <v>116</v>
      </c>
      <c r="C84" s="246"/>
      <c r="D84" s="247">
        <f>IFERROR(D75+D77+D79+D81+D83,0)</f>
        <v>1.9205936363636364</v>
      </c>
      <c r="E84" s="277"/>
      <c r="G84" s="5"/>
    </row>
    <row r="85" spans="1:10" ht="13.5" hidden="1" thickBot="1" x14ac:dyDescent="0.25">
      <c r="F85" s="19">
        <f>SUM(E74:E83)</f>
        <v>0</v>
      </c>
      <c r="G85" s="5"/>
    </row>
    <row r="86" spans="1:10" hidden="1" x14ac:dyDescent="0.2">
      <c r="G86" s="5"/>
    </row>
    <row r="87" spans="1:10" ht="13.5" thickBot="1" x14ac:dyDescent="0.25">
      <c r="A87" s="5" t="s">
        <v>320</v>
      </c>
      <c r="G87" s="5"/>
    </row>
    <row r="88" spans="1:10" ht="13.5" thickBot="1" x14ac:dyDescent="0.25">
      <c r="A88" s="54" t="s">
        <v>60</v>
      </c>
      <c r="B88" s="55" t="s">
        <v>61</v>
      </c>
      <c r="C88" s="55" t="s">
        <v>38</v>
      </c>
      <c r="D88" s="56" t="s">
        <v>231</v>
      </c>
      <c r="E88" s="56" t="s">
        <v>62</v>
      </c>
      <c r="F88" s="57" t="s">
        <v>63</v>
      </c>
      <c r="G88" s="5"/>
    </row>
    <row r="89" spans="1:10" x14ac:dyDescent="0.2">
      <c r="A89" s="293" t="s">
        <v>321</v>
      </c>
      <c r="B89" s="316" t="s">
        <v>61</v>
      </c>
      <c r="C89" s="323">
        <f>E22</f>
        <v>60</v>
      </c>
      <c r="D89" s="281">
        <v>33</v>
      </c>
      <c r="E89" s="317">
        <f>C89*D89</f>
        <v>1980</v>
      </c>
      <c r="G89" s="5"/>
    </row>
    <row r="90" spans="1:10" x14ac:dyDescent="0.2">
      <c r="A90" s="293" t="s">
        <v>322</v>
      </c>
      <c r="B90" s="316" t="s">
        <v>1</v>
      </c>
      <c r="C90" s="335">
        <v>33.333329999999997</v>
      </c>
      <c r="D90" s="320">
        <f>E89</f>
        <v>1980</v>
      </c>
      <c r="E90" s="317">
        <f>D90*C90/100</f>
        <v>659.99993399999994</v>
      </c>
      <c r="G90" s="5"/>
    </row>
    <row r="91" spans="1:10" x14ac:dyDescent="0.2">
      <c r="A91" s="293" t="s">
        <v>323</v>
      </c>
      <c r="B91" s="316" t="s">
        <v>61</v>
      </c>
      <c r="C91" s="323">
        <f>E22</f>
        <v>60</v>
      </c>
      <c r="D91" s="281">
        <v>25</v>
      </c>
      <c r="E91" s="317">
        <f>D91*C91</f>
        <v>1500</v>
      </c>
      <c r="G91" s="5"/>
    </row>
    <row r="92" spans="1:10" ht="13.5" thickBot="1" x14ac:dyDescent="0.25">
      <c r="A92" s="293" t="s">
        <v>324</v>
      </c>
      <c r="B92" s="316" t="s">
        <v>7</v>
      </c>
      <c r="C92" s="271">
        <v>1</v>
      </c>
      <c r="D92" s="320">
        <f>E91</f>
        <v>1500</v>
      </c>
      <c r="E92" s="317">
        <f>C92*D92</f>
        <v>1500</v>
      </c>
      <c r="G92" s="5"/>
    </row>
    <row r="93" spans="1:10" ht="13.5" thickBot="1" x14ac:dyDescent="0.25">
      <c r="F93" s="19">
        <f>SUM(E90+E92)</f>
        <v>2159.9999339999999</v>
      </c>
      <c r="G93" s="5"/>
    </row>
    <row r="94" spans="1:10" s="296" customFormat="1" ht="11.25" customHeight="1" thickBot="1" x14ac:dyDescent="0.25">
      <c r="A94" s="5"/>
      <c r="B94" s="5"/>
      <c r="C94" s="5"/>
      <c r="H94" s="5"/>
      <c r="I94" s="5"/>
      <c r="J94" s="5"/>
    </row>
    <row r="95" spans="1:10" s="296" customFormat="1" ht="17.25" customHeight="1" thickBot="1" x14ac:dyDescent="0.25">
      <c r="A95" s="22" t="s">
        <v>227</v>
      </c>
      <c r="B95" s="336"/>
      <c r="C95" s="336"/>
      <c r="D95" s="337"/>
      <c r="E95" s="338"/>
      <c r="F95" s="20">
        <f>F43+F59+F93</f>
        <v>5197.4999339999995</v>
      </c>
      <c r="H95" s="5"/>
      <c r="I95" s="5"/>
      <c r="J95" s="5"/>
    </row>
    <row r="96" spans="1:10" s="296" customFormat="1" ht="11.25" customHeight="1" x14ac:dyDescent="0.2">
      <c r="A96" s="5"/>
      <c r="B96" s="5"/>
      <c r="C96" s="5"/>
      <c r="H96" s="5"/>
      <c r="I96" s="5"/>
      <c r="J96" s="5"/>
    </row>
    <row r="97" spans="1:10" s="296" customFormat="1" x14ac:dyDescent="0.2">
      <c r="A97" s="9" t="s">
        <v>325</v>
      </c>
      <c r="B97" s="5"/>
      <c r="C97" s="5"/>
      <c r="H97" s="5"/>
      <c r="I97" s="5"/>
      <c r="J97" s="5"/>
    </row>
    <row r="98" spans="1:10" s="296" customFormat="1" ht="11.25" customHeight="1" thickBot="1" x14ac:dyDescent="0.25">
      <c r="A98" s="5"/>
      <c r="B98" s="5"/>
      <c r="C98" s="5"/>
      <c r="H98" s="5"/>
      <c r="I98" s="5"/>
      <c r="J98" s="5"/>
    </row>
    <row r="99" spans="1:10" s="296" customFormat="1" ht="13.5" thickBot="1" x14ac:dyDescent="0.25">
      <c r="A99" s="54" t="s">
        <v>60</v>
      </c>
      <c r="B99" s="55" t="s">
        <v>61</v>
      </c>
      <c r="C99" s="55" t="s">
        <v>38</v>
      </c>
      <c r="D99" s="56" t="s">
        <v>231</v>
      </c>
      <c r="E99" s="56" t="s">
        <v>62</v>
      </c>
      <c r="F99" s="57" t="s">
        <v>63</v>
      </c>
      <c r="H99" s="5"/>
      <c r="I99" s="5"/>
      <c r="J99" s="5"/>
    </row>
    <row r="100" spans="1:10" s="296" customFormat="1" ht="13.5" thickBot="1" x14ac:dyDescent="0.25">
      <c r="A100" s="293" t="s">
        <v>34</v>
      </c>
      <c r="B100" s="316" t="s">
        <v>1</v>
      </c>
      <c r="C100" s="339">
        <f>'6.BDI Coleta'!C18*100</f>
        <v>26.11</v>
      </c>
      <c r="D100" s="317">
        <f>+F95</f>
        <v>5197.4999339999995</v>
      </c>
      <c r="E100" s="317">
        <f>C100*D100/100</f>
        <v>1357.0672327673997</v>
      </c>
      <c r="H100" s="5"/>
      <c r="I100" s="5"/>
      <c r="J100" s="5"/>
    </row>
    <row r="101" spans="1:10" s="296" customFormat="1" ht="13.5" thickBot="1" x14ac:dyDescent="0.25">
      <c r="A101" s="5"/>
      <c r="B101" s="5"/>
      <c r="C101" s="5"/>
      <c r="F101" s="19">
        <f>+E100</f>
        <v>1357.0672327673997</v>
      </c>
      <c r="H101" s="5"/>
      <c r="I101" s="5"/>
      <c r="J101" s="5"/>
    </row>
    <row r="102" spans="1:10" s="296" customFormat="1" ht="11.25" customHeight="1" thickBot="1" x14ac:dyDescent="0.25">
      <c r="A102" s="5"/>
      <c r="B102" s="5"/>
      <c r="C102" s="5"/>
      <c r="H102" s="5"/>
      <c r="I102" s="5"/>
      <c r="J102" s="5"/>
    </row>
    <row r="103" spans="1:10" s="296" customFormat="1" ht="13.5" thickBot="1" x14ac:dyDescent="0.25">
      <c r="A103" s="22" t="s">
        <v>236</v>
      </c>
      <c r="B103" s="336"/>
      <c r="C103" s="336"/>
      <c r="D103" s="337"/>
      <c r="E103" s="338"/>
      <c r="F103" s="20">
        <f>F101</f>
        <v>1357.0672327673997</v>
      </c>
      <c r="H103" s="5"/>
      <c r="I103" s="5"/>
      <c r="J103" s="5"/>
    </row>
    <row r="104" spans="1:10" s="296" customFormat="1" ht="13.5" thickBot="1" x14ac:dyDescent="0.25">
      <c r="A104" s="9"/>
      <c r="B104" s="9"/>
      <c r="C104" s="9"/>
      <c r="D104" s="32"/>
      <c r="E104" s="32"/>
      <c r="F104" s="31"/>
      <c r="H104" s="5"/>
      <c r="I104" s="5"/>
      <c r="J104" s="5"/>
    </row>
    <row r="105" spans="1:10" s="296" customFormat="1" ht="11.25" hidden="1" customHeight="1" thickBot="1" x14ac:dyDescent="0.25">
      <c r="A105" s="5"/>
      <c r="B105" s="5"/>
      <c r="C105" s="5"/>
      <c r="H105" s="5"/>
      <c r="I105" s="5"/>
      <c r="J105" s="5"/>
    </row>
    <row r="106" spans="1:10" s="296" customFormat="1" ht="24.75" customHeight="1" thickBot="1" x14ac:dyDescent="0.25">
      <c r="A106" s="22" t="s">
        <v>228</v>
      </c>
      <c r="B106" s="336"/>
      <c r="C106" s="336"/>
      <c r="D106" s="337"/>
      <c r="E106" s="338"/>
      <c r="F106" s="20">
        <f>F95+F103</f>
        <v>6554.5671667673996</v>
      </c>
      <c r="H106" s="5"/>
      <c r="I106" s="5"/>
      <c r="J106" s="5"/>
    </row>
    <row r="107" spans="1:10" s="296" customFormat="1" ht="12.6" customHeight="1" thickBot="1" x14ac:dyDescent="0.25">
      <c r="A107" s="340"/>
      <c r="B107" s="341"/>
      <c r="C107" s="341"/>
      <c r="D107" s="342"/>
      <c r="E107" s="342"/>
      <c r="F107" s="343"/>
      <c r="H107" s="5"/>
      <c r="I107" s="5"/>
      <c r="J107" s="5"/>
    </row>
    <row r="108" spans="1:10" s="296" customFormat="1" ht="15" hidden="1" thickBot="1" x14ac:dyDescent="0.25">
      <c r="A108" s="344"/>
      <c r="B108" s="344"/>
      <c r="C108" s="344"/>
      <c r="D108" s="345"/>
      <c r="E108" s="345"/>
      <c r="F108" s="346"/>
      <c r="H108" s="5"/>
      <c r="I108" s="5"/>
      <c r="J108" s="5"/>
    </row>
    <row r="109" spans="1:10" ht="16.149999999999999" hidden="1" customHeight="1" x14ac:dyDescent="0.2">
      <c r="A109" s="347" t="s">
        <v>326</v>
      </c>
      <c r="B109" s="348"/>
      <c r="C109" s="348"/>
      <c r="D109" s="349">
        <v>60</v>
      </c>
      <c r="E109" s="350" t="s">
        <v>327</v>
      </c>
      <c r="F109" s="346"/>
      <c r="G109" s="296" t="s">
        <v>201</v>
      </c>
    </row>
    <row r="110" spans="1:10" ht="13.5" hidden="1" thickBot="1" x14ac:dyDescent="0.25">
      <c r="A110" s="305"/>
      <c r="B110" s="305"/>
      <c r="C110" s="305"/>
      <c r="D110" s="346"/>
      <c r="E110" s="346"/>
      <c r="F110" s="346"/>
    </row>
    <row r="111" spans="1:10" ht="25.5" hidden="1" customHeight="1" thickBot="1" x14ac:dyDescent="0.25">
      <c r="A111" s="351" t="s">
        <v>328</v>
      </c>
      <c r="B111" s="352"/>
      <c r="C111" s="352"/>
      <c r="D111" s="353"/>
      <c r="E111" s="354" t="s">
        <v>329</v>
      </c>
      <c r="F111" s="355">
        <f>IFERROR(F106/D109,"-")</f>
        <v>109.24278611279</v>
      </c>
      <c r="G111" s="296" t="s">
        <v>201</v>
      </c>
    </row>
    <row r="112" spans="1:10" ht="12.6" hidden="1" customHeight="1" x14ac:dyDescent="0.2">
      <c r="A112" s="356"/>
      <c r="B112" s="356"/>
      <c r="C112" s="356"/>
      <c r="D112" s="357"/>
      <c r="E112" s="357"/>
      <c r="F112" s="357"/>
    </row>
    <row r="113" spans="1:6" ht="13.5" hidden="1" thickBot="1" x14ac:dyDescent="0.25">
      <c r="A113" s="358"/>
      <c r="B113" s="305"/>
      <c r="C113" s="305"/>
      <c r="D113" s="346"/>
      <c r="E113" s="346"/>
      <c r="F113" s="346"/>
    </row>
    <row r="114" spans="1:6" ht="15.75" thickBot="1" x14ac:dyDescent="0.25">
      <c r="A114" s="359" t="s">
        <v>330</v>
      </c>
      <c r="B114" s="360"/>
      <c r="C114" s="360"/>
      <c r="D114" s="361"/>
      <c r="E114" s="361"/>
      <c r="F114" s="362">
        <f>F106/E23</f>
        <v>109.24278611279</v>
      </c>
    </row>
    <row r="115" spans="1:6" ht="15" x14ac:dyDescent="0.2">
      <c r="A115" s="510"/>
      <c r="B115" s="510"/>
      <c r="C115" s="510"/>
      <c r="D115" s="510"/>
      <c r="E115" s="510"/>
      <c r="F115" s="510"/>
    </row>
    <row r="116" spans="1:6" ht="15" x14ac:dyDescent="0.2">
      <c r="A116" s="363"/>
      <c r="B116" s="511"/>
      <c r="C116" s="511"/>
      <c r="D116" s="511"/>
      <c r="E116" s="364"/>
      <c r="F116" s="364"/>
    </row>
    <row r="117" spans="1:6" ht="15" x14ac:dyDescent="0.2">
      <c r="A117" s="363"/>
      <c r="B117" s="506"/>
      <c r="C117" s="506"/>
      <c r="D117" s="506"/>
      <c r="E117" s="346"/>
      <c r="F117" s="346"/>
    </row>
    <row r="118" spans="1:6" x14ac:dyDescent="0.2">
      <c r="A118" s="365"/>
      <c r="B118" s="305"/>
      <c r="C118" s="305"/>
      <c r="D118" s="346"/>
      <c r="E118" s="346"/>
      <c r="F118" s="346"/>
    </row>
    <row r="140" s="5" customFormat="1" ht="9" customHeight="1" x14ac:dyDescent="0.2"/>
  </sheetData>
  <mergeCells count="7">
    <mergeCell ref="B117:D117"/>
    <mergeCell ref="A8:F8"/>
    <mergeCell ref="A9:F9"/>
    <mergeCell ref="A11:F11"/>
    <mergeCell ref="A21:D21"/>
    <mergeCell ref="A115:F115"/>
    <mergeCell ref="B116:D116"/>
  </mergeCells>
  <hyperlinks>
    <hyperlink ref="A45" location="AbaRemun" display="3.1.2. Remuneração do Capital"/>
    <hyperlink ref="A29" location="AbaDeprec" display="3.1.1. Depreciação"/>
  </hyperlinks>
  <pageMargins left="0.9055118110236221" right="0.51181102362204722" top="0.43" bottom="0.63" header="0.31496062992125984" footer="0.31496062992125984"/>
  <pageSetup paperSize="9" scale="76" fitToHeight="0" orientation="portrait" verticalDpi="300" r:id="rId1"/>
  <headerFooter alignWithMargins="0">
    <oddFooter>&amp;R&amp;P de &amp;N</oddFooter>
  </headerFooter>
  <rowBreaks count="1" manualBreakCount="1">
    <brk id="114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A11" zoomScaleSheetLayoutView="100" workbookViewId="0">
      <selection activeCell="G17" sqref="G17"/>
    </sheetView>
  </sheetViews>
  <sheetFormatPr defaultColWidth="9.140625" defaultRowHeight="12.75" x14ac:dyDescent="0.2"/>
  <cols>
    <col min="1" max="1" width="44.5703125" style="368" customWidth="1"/>
    <col min="2" max="2" width="16" style="368" bestFit="1" customWidth="1"/>
    <col min="3" max="3" width="11.85546875" style="368" customWidth="1"/>
    <col min="4" max="4" width="14.7109375" style="296" customWidth="1"/>
    <col min="5" max="5" width="15.42578125" style="296" customWidth="1"/>
    <col min="6" max="6" width="12.42578125" style="296" customWidth="1"/>
    <col min="7" max="7" width="28.140625" style="296" customWidth="1"/>
    <col min="8" max="8" width="9.140625" style="368"/>
    <col min="9" max="9" width="14.5703125" style="368" customWidth="1"/>
    <col min="10" max="10" width="13.42578125" style="368" customWidth="1"/>
    <col min="11" max="16384" width="9.140625" style="368"/>
  </cols>
  <sheetData>
    <row r="1" spans="1:7" hidden="1" x14ac:dyDescent="0.2">
      <c r="A1" s="367" t="s">
        <v>199</v>
      </c>
    </row>
    <row r="2" spans="1:7" hidden="1" x14ac:dyDescent="0.2">
      <c r="A2" s="369" t="s">
        <v>303</v>
      </c>
    </row>
    <row r="3" spans="1:7" hidden="1" x14ac:dyDescent="0.2">
      <c r="A3" s="368" t="s">
        <v>200</v>
      </c>
    </row>
    <row r="4" spans="1:7" hidden="1" x14ac:dyDescent="0.2">
      <c r="A4" s="369" t="s">
        <v>304</v>
      </c>
    </row>
    <row r="5" spans="1:7" ht="16.5" customHeight="1" thickBot="1" x14ac:dyDescent="0.25">
      <c r="A5" s="135" t="s">
        <v>331</v>
      </c>
      <c r="B5" s="369"/>
      <c r="C5" s="369"/>
      <c r="D5" s="4"/>
      <c r="E5" s="4"/>
      <c r="F5" s="4"/>
      <c r="G5" s="4"/>
    </row>
    <row r="6" spans="1:7" s="370" customFormat="1" ht="18" x14ac:dyDescent="0.2">
      <c r="A6" s="512" t="s">
        <v>337</v>
      </c>
      <c r="B6" s="513"/>
      <c r="C6" s="513"/>
      <c r="D6" s="513"/>
      <c r="E6" s="513"/>
      <c r="F6" s="514"/>
      <c r="G6" s="33"/>
    </row>
    <row r="7" spans="1:7" s="370" customFormat="1" ht="21.75" customHeight="1" x14ac:dyDescent="0.2">
      <c r="A7" s="515" t="s">
        <v>41</v>
      </c>
      <c r="B7" s="516"/>
      <c r="C7" s="516"/>
      <c r="D7" s="516"/>
      <c r="E7" s="516"/>
      <c r="F7" s="517"/>
      <c r="G7" s="33"/>
    </row>
    <row r="8" spans="1:7" ht="10.9" customHeight="1" thickBot="1" x14ac:dyDescent="0.25">
      <c r="A8" s="371"/>
      <c r="B8" s="369"/>
      <c r="C8" s="369"/>
      <c r="D8" s="137"/>
      <c r="E8" s="137"/>
      <c r="F8" s="138"/>
      <c r="G8" s="4"/>
    </row>
    <row r="9" spans="1:7" ht="15.75" customHeight="1" thickBot="1" x14ac:dyDescent="0.25">
      <c r="A9" s="503" t="s">
        <v>198</v>
      </c>
      <c r="B9" s="504"/>
      <c r="C9" s="504"/>
      <c r="D9" s="504"/>
      <c r="E9" s="504"/>
      <c r="F9" s="505"/>
      <c r="G9" s="4"/>
    </row>
    <row r="10" spans="1:7" ht="15.75" customHeight="1" x14ac:dyDescent="0.2">
      <c r="A10" s="58" t="s">
        <v>197</v>
      </c>
      <c r="B10" s="36"/>
      <c r="C10" s="36"/>
      <c r="D10" s="235"/>
      <c r="E10" s="105" t="s">
        <v>36</v>
      </c>
      <c r="F10" s="37" t="s">
        <v>1</v>
      </c>
      <c r="G10" s="4"/>
    </row>
    <row r="11" spans="1:7" s="367" customFormat="1" ht="15.75" customHeight="1" x14ac:dyDescent="0.2">
      <c r="A11" s="125" t="str">
        <f>A17</f>
        <v xml:space="preserve">1. Destinação final </v>
      </c>
      <c r="B11" s="372"/>
      <c r="C11" s="116"/>
      <c r="D11" s="116"/>
      <c r="E11" s="373">
        <f>+F23</f>
        <v>14172.3375</v>
      </c>
      <c r="F11" s="117">
        <f>IFERROR(E11/$E$13,0)</f>
        <v>0.88183421516754845</v>
      </c>
      <c r="G11" s="40"/>
    </row>
    <row r="12" spans="1:7" s="367" customFormat="1" ht="15.75" customHeight="1" thickBot="1" x14ac:dyDescent="0.25">
      <c r="A12" s="125" t="str">
        <f>A28</f>
        <v>2. Benefícios e Despesas Indiretas - BDI</v>
      </c>
      <c r="B12" s="372"/>
      <c r="C12" s="116"/>
      <c r="D12" s="116"/>
      <c r="E12" s="374">
        <f>+F34</f>
        <v>1899.0932250000001</v>
      </c>
      <c r="F12" s="117">
        <f>IFERROR(E12/$E$13,0)</f>
        <v>0.11816578483245151</v>
      </c>
      <c r="G12" s="40"/>
    </row>
    <row r="13" spans="1:7" ht="15.75" customHeight="1" thickBot="1" x14ac:dyDescent="0.25">
      <c r="A13" s="38" t="s">
        <v>334</v>
      </c>
      <c r="B13" s="375"/>
      <c r="C13" s="24"/>
      <c r="D13" s="24"/>
      <c r="E13" s="376">
        <f>E11+E12</f>
        <v>16071.430725</v>
      </c>
      <c r="F13" s="130">
        <f>F11+F12</f>
        <v>1</v>
      </c>
      <c r="G13" s="4"/>
    </row>
    <row r="16" spans="1:7" ht="11.25" customHeight="1" x14ac:dyDescent="0.2">
      <c r="G16" s="368"/>
    </row>
    <row r="17" spans="1:7" x14ac:dyDescent="0.2">
      <c r="A17" s="367" t="s">
        <v>335</v>
      </c>
      <c r="B17" s="367"/>
      <c r="C17" s="367"/>
      <c r="D17" s="32"/>
      <c r="E17" s="32"/>
      <c r="F17" s="31"/>
      <c r="G17" s="368"/>
    </row>
    <row r="18" spans="1:7" ht="11.25" customHeight="1" thickBot="1" x14ac:dyDescent="0.25">
      <c r="G18" s="368"/>
    </row>
    <row r="19" spans="1:7" ht="13.5" thickBot="1" x14ac:dyDescent="0.25">
      <c r="A19" s="377" t="s">
        <v>60</v>
      </c>
      <c r="B19" s="378" t="s">
        <v>61</v>
      </c>
      <c r="C19" s="378" t="s">
        <v>38</v>
      </c>
      <c r="D19" s="56" t="s">
        <v>231</v>
      </c>
      <c r="E19" s="56" t="s">
        <v>62</v>
      </c>
      <c r="F19" s="57" t="s">
        <v>63</v>
      </c>
      <c r="G19" s="368"/>
    </row>
    <row r="20" spans="1:7" ht="13.5" thickBot="1" x14ac:dyDescent="0.25">
      <c r="A20" s="379" t="s">
        <v>278</v>
      </c>
      <c r="B20" s="380" t="s">
        <v>279</v>
      </c>
      <c r="C20" s="381">
        <f>'7. Ton'!C20</f>
        <v>93.239062500000003</v>
      </c>
      <c r="D20" s="281">
        <v>152</v>
      </c>
      <c r="E20" s="277">
        <f>C20*D20</f>
        <v>14172.3375</v>
      </c>
      <c r="F20" s="382"/>
      <c r="G20" s="368"/>
    </row>
    <row r="21" spans="1:7" ht="13.5" thickBot="1" x14ac:dyDescent="0.25">
      <c r="A21" s="367"/>
      <c r="B21" s="367"/>
      <c r="C21" s="367"/>
      <c r="D21" s="367"/>
      <c r="E21" s="32"/>
      <c r="F21" s="19">
        <f>SUM(E20:E20)</f>
        <v>14172.3375</v>
      </c>
      <c r="G21" s="368"/>
    </row>
    <row r="22" spans="1:7" ht="11.25" customHeight="1" thickBot="1" x14ac:dyDescent="0.25">
      <c r="G22" s="368"/>
    </row>
    <row r="23" spans="1:7" ht="13.5" thickBot="1" x14ac:dyDescent="0.25">
      <c r="A23" s="383" t="s">
        <v>280</v>
      </c>
      <c r="B23" s="384"/>
      <c r="C23" s="384"/>
      <c r="D23" s="24"/>
      <c r="E23" s="25"/>
      <c r="F23" s="19">
        <f>+F21</f>
        <v>14172.3375</v>
      </c>
      <c r="G23" s="368"/>
    </row>
    <row r="24" spans="1:7" ht="11.25" customHeight="1" x14ac:dyDescent="0.2">
      <c r="G24" s="368"/>
    </row>
    <row r="25" spans="1:7" ht="11.25" customHeight="1" thickBot="1" x14ac:dyDescent="0.25"/>
    <row r="26" spans="1:7" ht="17.25" customHeight="1" thickBot="1" x14ac:dyDescent="0.25">
      <c r="A26" s="383" t="s">
        <v>227</v>
      </c>
      <c r="B26" s="385"/>
      <c r="C26" s="385"/>
      <c r="D26" s="337"/>
      <c r="E26" s="338"/>
      <c r="F26" s="20">
        <f>F23</f>
        <v>14172.3375</v>
      </c>
    </row>
    <row r="27" spans="1:7" ht="11.25" customHeight="1" x14ac:dyDescent="0.2"/>
    <row r="28" spans="1:7" x14ac:dyDescent="0.2">
      <c r="A28" s="367" t="s">
        <v>325</v>
      </c>
    </row>
    <row r="29" spans="1:7" ht="11.25" customHeight="1" thickBot="1" x14ac:dyDescent="0.25"/>
    <row r="30" spans="1:7" ht="13.5" thickBot="1" x14ac:dyDescent="0.25">
      <c r="A30" s="377" t="s">
        <v>60</v>
      </c>
      <c r="B30" s="378" t="s">
        <v>61</v>
      </c>
      <c r="C30" s="378" t="s">
        <v>38</v>
      </c>
      <c r="D30" s="56" t="s">
        <v>231</v>
      </c>
      <c r="E30" s="56" t="s">
        <v>62</v>
      </c>
      <c r="F30" s="57" t="s">
        <v>63</v>
      </c>
    </row>
    <row r="31" spans="1:7" ht="13.5" thickBot="1" x14ac:dyDescent="0.25">
      <c r="A31" s="386" t="s">
        <v>34</v>
      </c>
      <c r="B31" s="387" t="s">
        <v>1</v>
      </c>
      <c r="C31" s="339">
        <f>'6.1 BDI Aterro'!C18*100</f>
        <v>13.4</v>
      </c>
      <c r="D31" s="317">
        <f>+F26</f>
        <v>14172.3375</v>
      </c>
      <c r="E31" s="317">
        <f>C31*D31/100</f>
        <v>1899.0932250000001</v>
      </c>
    </row>
    <row r="32" spans="1:7" ht="13.5" thickBot="1" x14ac:dyDescent="0.25">
      <c r="F32" s="19">
        <f>+E31</f>
        <v>1899.0932250000001</v>
      </c>
    </row>
    <row r="33" spans="1:7" ht="11.25" customHeight="1" thickBot="1" x14ac:dyDescent="0.25"/>
    <row r="34" spans="1:7" ht="13.5" thickBot="1" x14ac:dyDescent="0.25">
      <c r="A34" s="383" t="s">
        <v>236</v>
      </c>
      <c r="B34" s="385"/>
      <c r="C34" s="385"/>
      <c r="D34" s="337"/>
      <c r="E34" s="338"/>
      <c r="F34" s="20">
        <f>F32</f>
        <v>1899.0932250000001</v>
      </c>
    </row>
    <row r="35" spans="1:7" x14ac:dyDescent="0.2">
      <c r="A35" s="367"/>
      <c r="B35" s="367"/>
      <c r="C35" s="367"/>
      <c r="D35" s="32"/>
      <c r="E35" s="32"/>
      <c r="F35" s="31"/>
    </row>
    <row r="36" spans="1:7" ht="11.25" customHeight="1" thickBot="1" x14ac:dyDescent="0.25"/>
    <row r="37" spans="1:7" ht="24.75" customHeight="1" x14ac:dyDescent="0.2">
      <c r="A37" s="388" t="s">
        <v>228</v>
      </c>
      <c r="B37" s="389"/>
      <c r="C37" s="389"/>
      <c r="D37" s="390"/>
      <c r="E37" s="391"/>
      <c r="F37" s="392">
        <f>F26+F34</f>
        <v>16071.430725</v>
      </c>
    </row>
    <row r="38" spans="1:7" ht="12.6" customHeight="1" x14ac:dyDescent="0.2">
      <c r="A38" s="393" t="s">
        <v>336</v>
      </c>
      <c r="B38" s="394"/>
      <c r="C38" s="395"/>
      <c r="D38" s="396"/>
      <c r="E38" s="396">
        <f>F37/C20</f>
        <v>172.36799999999999</v>
      </c>
      <c r="F38" s="397"/>
    </row>
    <row r="39" spans="1:7" ht="9.75" customHeight="1" x14ac:dyDescent="0.2">
      <c r="A39" s="35"/>
      <c r="B39" s="296"/>
      <c r="C39" s="296"/>
      <c r="G39" s="4"/>
    </row>
    <row r="41" spans="1:7" x14ac:dyDescent="0.2">
      <c r="F41" s="398"/>
    </row>
    <row r="69" s="368" customFormat="1" ht="9" customHeight="1" x14ac:dyDescent="0.2"/>
  </sheetData>
  <mergeCells count="3">
    <mergeCell ref="A6:F6"/>
    <mergeCell ref="A7:F7"/>
    <mergeCell ref="A9:F9"/>
  </mergeCells>
  <pageMargins left="0.9055118110236221" right="0.51181102362204722" top="0.74803149606299213" bottom="0.74803149606299213" header="0.31496062992125984" footer="0.31496062992125984"/>
  <pageSetup paperSize="9" scale="76" orientation="portrait" verticalDpi="300" r:id="rId1"/>
  <headerFooter alignWithMargins="0"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12" workbookViewId="0">
      <selection activeCell="G17" sqref="G17"/>
    </sheetView>
  </sheetViews>
  <sheetFormatPr defaultColWidth="9.140625" defaultRowHeight="12.75" x14ac:dyDescent="0.2"/>
  <cols>
    <col min="1" max="1" width="13.5703125" style="1" customWidth="1"/>
    <col min="2" max="2" width="36.7109375" style="1" bestFit="1" customWidth="1"/>
    <col min="3" max="3" width="14.5703125" style="1" customWidth="1"/>
    <col min="4" max="4" width="37.28515625" style="1" customWidth="1"/>
    <col min="5" max="10" width="9.140625" style="1"/>
    <col min="11" max="11" width="11" style="1" bestFit="1" customWidth="1"/>
    <col min="12" max="16384" width="9.140625" style="1"/>
  </cols>
  <sheetData>
    <row r="1" spans="1:6" x14ac:dyDescent="0.2">
      <c r="A1" s="9" t="s">
        <v>199</v>
      </c>
    </row>
    <row r="2" spans="1:6" x14ac:dyDescent="0.2">
      <c r="A2" s="127" t="s">
        <v>243</v>
      </c>
    </row>
    <row r="3" spans="1:6" ht="13.5" thickBot="1" x14ac:dyDescent="0.25"/>
    <row r="4" spans="1:6" ht="18" x14ac:dyDescent="0.2">
      <c r="A4" s="518" t="s">
        <v>230</v>
      </c>
      <c r="B4" s="519"/>
      <c r="C4" s="520"/>
      <c r="D4" s="135"/>
      <c r="E4" s="135"/>
      <c r="F4" s="135"/>
    </row>
    <row r="5" spans="1:6" ht="14.25" x14ac:dyDescent="0.2">
      <c r="A5" s="153" t="s">
        <v>137</v>
      </c>
      <c r="B5" s="154" t="s">
        <v>138</v>
      </c>
      <c r="C5" s="155" t="s">
        <v>139</v>
      </c>
      <c r="D5" s="156"/>
    </row>
    <row r="6" spans="1:6" ht="14.25" x14ac:dyDescent="0.2">
      <c r="A6" s="153" t="s">
        <v>140</v>
      </c>
      <c r="B6" s="154" t="s">
        <v>39</v>
      </c>
      <c r="C6" s="157">
        <v>0.2</v>
      </c>
      <c r="D6" s="156"/>
    </row>
    <row r="7" spans="1:6" ht="14.25" x14ac:dyDescent="0.2">
      <c r="A7" s="153" t="s">
        <v>141</v>
      </c>
      <c r="B7" s="154" t="s">
        <v>142</v>
      </c>
      <c r="C7" s="157">
        <v>1.4999999999999999E-2</v>
      </c>
      <c r="D7" s="156"/>
    </row>
    <row r="8" spans="1:6" ht="14.25" x14ac:dyDescent="0.2">
      <c r="A8" s="153" t="s">
        <v>143</v>
      </c>
      <c r="B8" s="154" t="s">
        <v>144</v>
      </c>
      <c r="C8" s="157">
        <v>0.01</v>
      </c>
      <c r="D8" s="156"/>
    </row>
    <row r="9" spans="1:6" ht="14.25" x14ac:dyDescent="0.2">
      <c r="A9" s="153" t="s">
        <v>145</v>
      </c>
      <c r="B9" s="154" t="s">
        <v>146</v>
      </c>
      <c r="C9" s="157">
        <v>2E-3</v>
      </c>
      <c r="D9" s="156"/>
    </row>
    <row r="10" spans="1:6" ht="14.25" x14ac:dyDescent="0.2">
      <c r="A10" s="153" t="s">
        <v>147</v>
      </c>
      <c r="B10" s="154" t="s">
        <v>148</v>
      </c>
      <c r="C10" s="157">
        <v>6.0000000000000001E-3</v>
      </c>
      <c r="D10" s="156"/>
    </row>
    <row r="11" spans="1:6" ht="14.25" x14ac:dyDescent="0.2">
      <c r="A11" s="153" t="s">
        <v>149</v>
      </c>
      <c r="B11" s="154" t="s">
        <v>150</v>
      </c>
      <c r="C11" s="157">
        <v>2.5000000000000001E-2</v>
      </c>
      <c r="D11" s="156"/>
    </row>
    <row r="12" spans="1:6" ht="14.25" x14ac:dyDescent="0.2">
      <c r="A12" s="153" t="s">
        <v>151</v>
      </c>
      <c r="B12" s="154" t="s">
        <v>152</v>
      </c>
      <c r="C12" s="157">
        <v>0.03</v>
      </c>
      <c r="D12" s="156"/>
    </row>
    <row r="13" spans="1:6" ht="14.25" x14ac:dyDescent="0.2">
      <c r="A13" s="153" t="s">
        <v>153</v>
      </c>
      <c r="B13" s="154" t="s">
        <v>40</v>
      </c>
      <c r="C13" s="157">
        <v>0.08</v>
      </c>
      <c r="D13" s="156"/>
    </row>
    <row r="14" spans="1:6" ht="15" x14ac:dyDescent="0.2">
      <c r="A14" s="153" t="s">
        <v>154</v>
      </c>
      <c r="B14" s="158" t="s">
        <v>155</v>
      </c>
      <c r="C14" s="159">
        <f>SUM(C6:C13)</f>
        <v>0.36800000000000005</v>
      </c>
      <c r="D14" s="156"/>
    </row>
    <row r="15" spans="1:6" ht="15" x14ac:dyDescent="0.2">
      <c r="A15" s="160"/>
      <c r="B15" s="161"/>
      <c r="C15" s="162"/>
      <c r="D15" s="156"/>
    </row>
    <row r="16" spans="1:6" ht="14.25" x14ac:dyDescent="0.2">
      <c r="A16" s="153" t="s">
        <v>156</v>
      </c>
      <c r="B16" s="163" t="s">
        <v>157</v>
      </c>
      <c r="C16" s="157">
        <v>6.9099999999999995E-2</v>
      </c>
      <c r="D16" s="156"/>
    </row>
    <row r="17" spans="1:8" ht="14.25" x14ac:dyDescent="0.2">
      <c r="A17" s="153" t="s">
        <v>158</v>
      </c>
      <c r="B17" s="163" t="s">
        <v>159</v>
      </c>
      <c r="C17" s="157">
        <f>ROUND('5.CAGED'!C33/'5.CAGED'!C30,4)</f>
        <v>8.3299999999999999E-2</v>
      </c>
      <c r="D17" s="156"/>
    </row>
    <row r="18" spans="1:8" ht="14.25" x14ac:dyDescent="0.2">
      <c r="A18" s="153" t="s">
        <v>219</v>
      </c>
      <c r="B18" s="163" t="s">
        <v>161</v>
      </c>
      <c r="C18" s="157">
        <v>5.9999999999999995E-4</v>
      </c>
      <c r="D18" s="156"/>
    </row>
    <row r="19" spans="1:8" ht="14.25" x14ac:dyDescent="0.2">
      <c r="A19" s="153" t="s">
        <v>160</v>
      </c>
      <c r="B19" s="163" t="s">
        <v>163</v>
      </c>
      <c r="C19" s="157">
        <v>8.2000000000000007E-3</v>
      </c>
      <c r="D19" s="156"/>
    </row>
    <row r="20" spans="1:8" ht="14.25" x14ac:dyDescent="0.2">
      <c r="A20" s="153" t="s">
        <v>162</v>
      </c>
      <c r="B20" s="163" t="s">
        <v>165</v>
      </c>
      <c r="C20" s="157">
        <v>3.0999999999999999E-3</v>
      </c>
      <c r="D20" s="156"/>
    </row>
    <row r="21" spans="1:8" ht="14.25" x14ac:dyDescent="0.2">
      <c r="A21" s="153" t="s">
        <v>164</v>
      </c>
      <c r="B21" s="163" t="s">
        <v>166</v>
      </c>
      <c r="C21" s="157">
        <v>1.2E-2</v>
      </c>
      <c r="D21" s="156"/>
    </row>
    <row r="22" spans="1:8" ht="15" x14ac:dyDescent="0.2">
      <c r="A22" s="153" t="s">
        <v>167</v>
      </c>
      <c r="B22" s="158" t="s">
        <v>168</v>
      </c>
      <c r="C22" s="159">
        <f>SUM(C16:C21)</f>
        <v>0.17629999999999998</v>
      </c>
      <c r="D22" s="164"/>
    </row>
    <row r="23" spans="1:8" ht="15" x14ac:dyDescent="0.2">
      <c r="A23" s="160"/>
      <c r="B23" s="161"/>
      <c r="C23" s="162"/>
      <c r="D23" s="164"/>
    </row>
    <row r="24" spans="1:8" ht="14.25" x14ac:dyDescent="0.2">
      <c r="A24" s="153" t="s">
        <v>169</v>
      </c>
      <c r="B24" s="154" t="s">
        <v>170</v>
      </c>
      <c r="C24" s="157">
        <v>2.1000000000000001E-2</v>
      </c>
      <c r="D24" s="156"/>
      <c r="E24" s="165"/>
    </row>
    <row r="25" spans="1:8" ht="14.25" x14ac:dyDescent="0.2">
      <c r="A25" s="153" t="s">
        <v>218</v>
      </c>
      <c r="B25" s="154" t="s">
        <v>172</v>
      </c>
      <c r="C25" s="157">
        <v>4.2000000000000003E-2</v>
      </c>
      <c r="D25" s="156"/>
      <c r="H25" s="166"/>
    </row>
    <row r="26" spans="1:8" ht="14.25" x14ac:dyDescent="0.2">
      <c r="A26" s="153" t="s">
        <v>171</v>
      </c>
      <c r="B26" s="154" t="s">
        <v>174</v>
      </c>
      <c r="C26" s="157">
        <v>1E-3</v>
      </c>
      <c r="D26" s="156"/>
    </row>
    <row r="27" spans="1:8" ht="14.25" x14ac:dyDescent="0.2">
      <c r="A27" s="153" t="s">
        <v>173</v>
      </c>
      <c r="B27" s="154" t="s">
        <v>176</v>
      </c>
      <c r="C27" s="157">
        <v>1.7999999999999999E-2</v>
      </c>
      <c r="D27" s="156"/>
      <c r="G27" s="165"/>
    </row>
    <row r="28" spans="1:8" ht="14.25" x14ac:dyDescent="0.2">
      <c r="A28" s="153" t="s">
        <v>175</v>
      </c>
      <c r="B28" s="154" t="s">
        <v>177</v>
      </c>
      <c r="C28" s="157">
        <v>2E-3</v>
      </c>
      <c r="D28" s="156"/>
    </row>
    <row r="29" spans="1:8" ht="15" x14ac:dyDescent="0.2">
      <c r="A29" s="153" t="s">
        <v>178</v>
      </c>
      <c r="B29" s="158" t="s">
        <v>179</v>
      </c>
      <c r="C29" s="159">
        <f>SUM(C24:C28)</f>
        <v>8.4000000000000005E-2</v>
      </c>
      <c r="D29" s="164"/>
    </row>
    <row r="30" spans="1:8" ht="15" x14ac:dyDescent="0.2">
      <c r="A30" s="160"/>
      <c r="B30" s="161"/>
      <c r="C30" s="162"/>
      <c r="D30" s="164"/>
    </row>
    <row r="31" spans="1:8" ht="14.25" x14ac:dyDescent="0.2">
      <c r="A31" s="153" t="s">
        <v>180</v>
      </c>
      <c r="B31" s="154" t="s">
        <v>181</v>
      </c>
      <c r="C31" s="157">
        <f>ROUND(C14*C22,4)</f>
        <v>6.4899999999999999E-2</v>
      </c>
      <c r="D31" s="156"/>
    </row>
    <row r="32" spans="1:8" ht="28.5" x14ac:dyDescent="0.2">
      <c r="A32" s="153" t="s">
        <v>182</v>
      </c>
      <c r="B32" s="167" t="s">
        <v>183</v>
      </c>
      <c r="C32" s="157">
        <f>ROUND((C24*C14),4)</f>
        <v>7.7000000000000002E-3</v>
      </c>
      <c r="D32" s="156"/>
    </row>
    <row r="33" spans="1:4" ht="15" x14ac:dyDescent="0.2">
      <c r="A33" s="153" t="s">
        <v>184</v>
      </c>
      <c r="B33" s="158" t="s">
        <v>185</v>
      </c>
      <c r="C33" s="159">
        <f>SUM(C31:C32)</f>
        <v>7.2599999999999998E-2</v>
      </c>
      <c r="D33" s="164"/>
    </row>
    <row r="34" spans="1:4" ht="15.75" thickBot="1" x14ac:dyDescent="0.25">
      <c r="A34" s="168"/>
      <c r="B34" s="169" t="s">
        <v>186</v>
      </c>
      <c r="C34" s="170">
        <f>C33+C29+C22+C14</f>
        <v>0.70090000000000008</v>
      </c>
      <c r="D34" s="164"/>
    </row>
    <row r="35" spans="1:4" ht="15" x14ac:dyDescent="0.2">
      <c r="A35" s="156"/>
      <c r="B35" s="171"/>
      <c r="C35" s="172"/>
      <c r="D35" s="173"/>
    </row>
    <row r="36" spans="1:4" ht="14.25" x14ac:dyDescent="0.2">
      <c r="A36" s="156"/>
      <c r="B36" s="156"/>
      <c r="C36" s="174"/>
      <c r="D36" s="175"/>
    </row>
    <row r="37" spans="1:4" ht="14.25" x14ac:dyDescent="0.2">
      <c r="A37" s="156"/>
      <c r="B37" s="156"/>
      <c r="C37" s="174"/>
      <c r="D37" s="156"/>
    </row>
    <row r="38" spans="1:4" ht="14.25" x14ac:dyDescent="0.2">
      <c r="A38" s="156"/>
      <c r="B38" s="156"/>
      <c r="C38" s="174"/>
      <c r="D38" s="156"/>
    </row>
    <row r="39" spans="1:4" ht="14.25" x14ac:dyDescent="0.2">
      <c r="A39" s="156"/>
      <c r="B39" s="156"/>
      <c r="C39" s="174"/>
      <c r="D39" s="156"/>
    </row>
    <row r="40" spans="1:4" ht="15" x14ac:dyDescent="0.2">
      <c r="A40" s="156"/>
      <c r="B40" s="171"/>
      <c r="C40" s="172"/>
      <c r="D40" s="156"/>
    </row>
    <row r="41" spans="1:4" ht="15" x14ac:dyDescent="0.2">
      <c r="A41" s="164"/>
      <c r="B41" s="171"/>
      <c r="C41" s="172"/>
      <c r="D41" s="164"/>
    </row>
    <row r="42" spans="1:4" ht="16.5" x14ac:dyDescent="0.2">
      <c r="A42" s="176"/>
    </row>
    <row r="43" spans="1:4" x14ac:dyDescent="0.2">
      <c r="A43" s="177"/>
      <c r="B43" s="178"/>
      <c r="C43" s="178"/>
    </row>
    <row r="44" spans="1:4" ht="14.25" x14ac:dyDescent="0.2">
      <c r="A44" s="156"/>
      <c r="B44" s="179"/>
      <c r="C44" s="178"/>
    </row>
    <row r="45" spans="1:4" ht="14.25" x14ac:dyDescent="0.2">
      <c r="A45" s="156"/>
      <c r="B45" s="179"/>
      <c r="C45" s="156"/>
    </row>
    <row r="46" spans="1:4" ht="14.25" x14ac:dyDescent="0.2">
      <c r="A46" s="156"/>
      <c r="B46" s="174"/>
      <c r="C46" s="178"/>
    </row>
    <row r="47" spans="1:4" ht="14.25" x14ac:dyDescent="0.2">
      <c r="A47" s="156"/>
      <c r="B47" s="179"/>
      <c r="C47" s="156"/>
    </row>
    <row r="48" spans="1:4" ht="14.25" x14ac:dyDescent="0.2">
      <c r="A48" s="156"/>
      <c r="B48" s="174"/>
      <c r="C48" s="178"/>
    </row>
    <row r="49" spans="1:3" ht="14.25" x14ac:dyDescent="0.2">
      <c r="A49" s="156"/>
      <c r="B49" s="179"/>
      <c r="C49" s="156"/>
    </row>
    <row r="50" spans="1:3" ht="14.25" x14ac:dyDescent="0.2">
      <c r="A50" s="156"/>
      <c r="B50" s="174"/>
      <c r="C50" s="178"/>
    </row>
    <row r="51" spans="1:3" ht="14.25" x14ac:dyDescent="0.2">
      <c r="A51" s="156"/>
      <c r="B51" s="179"/>
      <c r="C51" s="156"/>
    </row>
    <row r="52" spans="1:3" ht="14.25" x14ac:dyDescent="0.2">
      <c r="A52" s="156"/>
      <c r="B52" s="174"/>
      <c r="C52" s="178"/>
    </row>
    <row r="53" spans="1:3" ht="16.5" x14ac:dyDescent="0.2">
      <c r="A53" s="176"/>
    </row>
    <row r="56" spans="1:3" x14ac:dyDescent="0.2">
      <c r="A56" s="180"/>
    </row>
  </sheetData>
  <mergeCells count="1">
    <mergeCell ref="A4:C4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G17" sqref="G17"/>
    </sheetView>
  </sheetViews>
  <sheetFormatPr defaultColWidth="9.140625"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hidden="1" customWidth="1"/>
    <col min="5" max="5" width="13.7109375" style="1" hidden="1" customWidth="1"/>
    <col min="6" max="6" width="14.42578125" style="1" hidden="1" customWidth="1"/>
    <col min="7" max="7" width="12.7109375" style="1" hidden="1" customWidth="1"/>
    <col min="8" max="8" width="4.42578125" style="1" hidden="1" customWidth="1"/>
    <col min="9" max="9" width="6.85546875" style="1" hidden="1" customWidth="1"/>
    <col min="10" max="10" width="3.28515625" style="1" hidden="1" customWidth="1"/>
    <col min="11" max="11" width="0" style="1" hidden="1" customWidth="1"/>
    <col min="12" max="16384" width="9.140625" style="1"/>
  </cols>
  <sheetData>
    <row r="1" spans="1:3" x14ac:dyDescent="0.2">
      <c r="A1" s="98" t="s">
        <v>237</v>
      </c>
    </row>
    <row r="3" spans="1:3" x14ac:dyDescent="0.2">
      <c r="A3" s="1" t="s">
        <v>207</v>
      </c>
    </row>
    <row r="4" spans="1:3" x14ac:dyDescent="0.2">
      <c r="A4" s="250" t="s">
        <v>203</v>
      </c>
    </row>
    <row r="5" spans="1:3" ht="25.5" customHeight="1" x14ac:dyDescent="0.2">
      <c r="A5" s="524" t="s">
        <v>247</v>
      </c>
      <c r="B5" s="523"/>
      <c r="C5" s="523"/>
    </row>
    <row r="6" spans="1:3" x14ac:dyDescent="0.2">
      <c r="A6" s="1" t="s">
        <v>204</v>
      </c>
    </row>
    <row r="7" spans="1:3" ht="26.25" customHeight="1" x14ac:dyDescent="0.2">
      <c r="A7" s="523" t="s">
        <v>205</v>
      </c>
      <c r="B7" s="523"/>
      <c r="C7" s="523"/>
    </row>
    <row r="8" spans="1:3" x14ac:dyDescent="0.2">
      <c r="A8" s="1" t="s">
        <v>206</v>
      </c>
    </row>
    <row r="9" spans="1:3" x14ac:dyDescent="0.2">
      <c r="A9" s="1" t="s">
        <v>238</v>
      </c>
    </row>
    <row r="10" spans="1:3" ht="13.5" thickBot="1" x14ac:dyDescent="0.25"/>
    <row r="11" spans="1:3" ht="18" x14ac:dyDescent="0.25">
      <c r="B11" s="521" t="s">
        <v>229</v>
      </c>
      <c r="C11" s="522"/>
    </row>
    <row r="12" spans="1:3" ht="15" x14ac:dyDescent="0.25">
      <c r="B12" s="140" t="s">
        <v>202</v>
      </c>
      <c r="C12" s="181"/>
    </row>
    <row r="13" spans="1:3" ht="15" x14ac:dyDescent="0.25">
      <c r="B13" s="141" t="s">
        <v>118</v>
      </c>
      <c r="C13" s="142">
        <v>2486</v>
      </c>
    </row>
    <row r="14" spans="1:3" ht="15" x14ac:dyDescent="0.25">
      <c r="B14" s="143" t="s">
        <v>119</v>
      </c>
      <c r="C14" s="142">
        <v>3303</v>
      </c>
    </row>
    <row r="15" spans="1:3" ht="14.25" x14ac:dyDescent="0.2">
      <c r="B15" s="182" t="s">
        <v>120</v>
      </c>
      <c r="C15" s="183">
        <v>81</v>
      </c>
    </row>
    <row r="16" spans="1:3" ht="14.25" x14ac:dyDescent="0.2">
      <c r="B16" s="182" t="s">
        <v>121</v>
      </c>
      <c r="C16" s="183">
        <v>2336</v>
      </c>
    </row>
    <row r="17" spans="1:7" ht="14.25" x14ac:dyDescent="0.2">
      <c r="B17" s="182" t="s">
        <v>122</v>
      </c>
      <c r="C17" s="183">
        <v>342</v>
      </c>
    </row>
    <row r="18" spans="1:7" ht="14.25" x14ac:dyDescent="0.2">
      <c r="B18" s="182" t="s">
        <v>123</v>
      </c>
      <c r="C18" s="183">
        <v>18</v>
      </c>
    </row>
    <row r="19" spans="1:7" ht="14.25" x14ac:dyDescent="0.2">
      <c r="B19" s="182" t="s">
        <v>124</v>
      </c>
      <c r="C19" s="183">
        <v>500</v>
      </c>
    </row>
    <row r="20" spans="1:7" ht="14.25" x14ac:dyDescent="0.2">
      <c r="B20" s="182" t="s">
        <v>125</v>
      </c>
      <c r="C20" s="183">
        <v>1</v>
      </c>
    </row>
    <row r="21" spans="1:7" ht="14.25" x14ac:dyDescent="0.2">
      <c r="B21" s="182" t="s">
        <v>126</v>
      </c>
      <c r="C21" s="183">
        <v>25</v>
      </c>
    </row>
    <row r="22" spans="1:7" ht="14.25" x14ac:dyDescent="0.2">
      <c r="B22" s="184" t="s">
        <v>127</v>
      </c>
      <c r="C22" s="185">
        <v>0</v>
      </c>
    </row>
    <row r="23" spans="1:7" ht="15" x14ac:dyDescent="0.25">
      <c r="A23" s="1" t="s">
        <v>128</v>
      </c>
      <c r="B23" s="140" t="s">
        <v>129</v>
      </c>
      <c r="C23" s="181"/>
    </row>
    <row r="24" spans="1:7" ht="14.25" x14ac:dyDescent="0.2">
      <c r="B24" s="186" t="s">
        <v>253</v>
      </c>
      <c r="C24" s="187">
        <v>6400</v>
      </c>
    </row>
    <row r="25" spans="1:7" ht="14.25" x14ac:dyDescent="0.2">
      <c r="B25" s="182" t="s">
        <v>254</v>
      </c>
      <c r="C25" s="183">
        <v>5583</v>
      </c>
    </row>
    <row r="26" spans="1:7" ht="14.25" x14ac:dyDescent="0.2">
      <c r="B26" s="182" t="s">
        <v>255</v>
      </c>
      <c r="C26" s="183">
        <v>-817</v>
      </c>
    </row>
    <row r="27" spans="1:7" ht="14.25" x14ac:dyDescent="0.2">
      <c r="B27" s="188"/>
      <c r="C27" s="189"/>
    </row>
    <row r="28" spans="1:7" ht="15" x14ac:dyDescent="0.25">
      <c r="B28" s="144" t="s">
        <v>130</v>
      </c>
      <c r="C28" s="251">
        <f>MEDIAN(C13,C14)/MEDIAN(C24,C25)</f>
        <v>0.48310105983476592</v>
      </c>
      <c r="G28" s="1">
        <f>12/C28</f>
        <v>24.839523233719124</v>
      </c>
    </row>
    <row r="29" spans="1:7" ht="15" x14ac:dyDescent="0.25">
      <c r="B29" s="141" t="s">
        <v>131</v>
      </c>
      <c r="C29" s="251">
        <f>C16/MEDIAN(C24,C25)</f>
        <v>0.38988567136777103</v>
      </c>
    </row>
    <row r="30" spans="1:7" ht="15" x14ac:dyDescent="0.25">
      <c r="B30" s="146" t="s">
        <v>132</v>
      </c>
      <c r="C30" s="145">
        <v>360</v>
      </c>
    </row>
    <row r="31" spans="1:7" ht="15" x14ac:dyDescent="0.25">
      <c r="B31" s="141" t="s">
        <v>239</v>
      </c>
      <c r="C31" s="145">
        <v>10</v>
      </c>
    </row>
    <row r="32" spans="1:7" ht="15" x14ac:dyDescent="0.25">
      <c r="B32" s="141" t="s">
        <v>240</v>
      </c>
      <c r="C32" s="145">
        <v>30</v>
      </c>
      <c r="G32" s="1">
        <f>TRUNC(G37)</f>
        <v>0</v>
      </c>
    </row>
    <row r="33" spans="2:11" ht="15" x14ac:dyDescent="0.25">
      <c r="B33" s="141" t="s">
        <v>241</v>
      </c>
      <c r="C33" s="145">
        <v>30</v>
      </c>
    </row>
    <row r="34" spans="2:11" s="98" customFormat="1" ht="15" x14ac:dyDescent="0.25">
      <c r="B34" s="141" t="s">
        <v>133</v>
      </c>
      <c r="C34" s="190">
        <f>MEDIAN(C24,C25)</f>
        <v>5991.5</v>
      </c>
    </row>
    <row r="35" spans="2:11" s="98" customFormat="1" ht="15" x14ac:dyDescent="0.25">
      <c r="B35" s="141" t="s">
        <v>40</v>
      </c>
      <c r="C35" s="191">
        <v>0.08</v>
      </c>
      <c r="K35" s="98">
        <f>IF(C39&gt;12,C39-12,C39)</f>
        <v>12.839523233719124</v>
      </c>
    </row>
    <row r="36" spans="2:11" s="98" customFormat="1" ht="15" x14ac:dyDescent="0.25">
      <c r="B36" s="141" t="s">
        <v>134</v>
      </c>
      <c r="C36" s="191">
        <v>0.4</v>
      </c>
      <c r="K36" s="98" t="e">
        <f>IF(#REF!&gt;12,#REF!-12,#REF!)</f>
        <v>#REF!</v>
      </c>
    </row>
    <row r="37" spans="2:11" s="98" customFormat="1" ht="15" x14ac:dyDescent="0.25">
      <c r="B37" s="141" t="s">
        <v>135</v>
      </c>
      <c r="C37" s="252">
        <f>((1/C28)-TRUNC(E37))</f>
        <v>6.9960269476593506E-2</v>
      </c>
      <c r="D37" s="98">
        <f>TRUNC(E37)</f>
        <v>2</v>
      </c>
      <c r="E37" s="98">
        <f>1/C28</f>
        <v>2.0699602694765935</v>
      </c>
      <c r="F37" s="98">
        <f>((1/C28)-TRUNC(E37))</f>
        <v>6.9960269476593506E-2</v>
      </c>
      <c r="G37" s="98">
        <f>12*F37</f>
        <v>0.83952323371912208</v>
      </c>
      <c r="K37" s="98" t="e">
        <f>IF(#REF!&gt;12,#REF!-12,#REF!)</f>
        <v>#REF!</v>
      </c>
    </row>
    <row r="38" spans="2:11" s="98" customFormat="1" ht="15" x14ac:dyDescent="0.25">
      <c r="B38" s="140" t="s">
        <v>136</v>
      </c>
      <c r="C38" s="147">
        <f>30+D38</f>
        <v>36</v>
      </c>
      <c r="D38" s="98">
        <f>3*D37</f>
        <v>6</v>
      </c>
      <c r="G38" s="98">
        <f>G37/12*40/360</f>
        <v>7.7733632751770566E-3</v>
      </c>
      <c r="K38" s="98" t="e">
        <f>IF(#REF!&gt;12,#REF!-12,#REF!)</f>
        <v>#REF!</v>
      </c>
    </row>
    <row r="39" spans="2:11" s="98" customFormat="1" ht="15.75" thickBot="1" x14ac:dyDescent="0.3">
      <c r="B39" s="148" t="s">
        <v>244</v>
      </c>
      <c r="C39" s="253">
        <f>12/C28</f>
        <v>24.839523233719124</v>
      </c>
      <c r="K39" s="98" t="e">
        <f>IF(#REF!&gt;12,#REF!-12,#REF!)</f>
        <v>#REF!</v>
      </c>
    </row>
    <row r="40" spans="2:11" x14ac:dyDescent="0.2">
      <c r="K40" s="1" t="e">
        <f t="shared" ref="K40:K41" si="0">IF(K39&gt;12,K39-12,K39)</f>
        <v>#REF!</v>
      </c>
    </row>
    <row r="41" spans="2:11" x14ac:dyDescent="0.2">
      <c r="K41" s="1" t="e">
        <f t="shared" si="0"/>
        <v>#REF!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17" sqref="G1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1" bestFit="1" customWidth="1"/>
    <col min="6" max="6" width="9.7109375" bestFit="1" customWidth="1"/>
  </cols>
  <sheetData>
    <row r="1" spans="1:8" s="132" customFormat="1" ht="14.25" x14ac:dyDescent="0.2">
      <c r="A1" s="9" t="s">
        <v>199</v>
      </c>
      <c r="B1" s="6"/>
      <c r="C1" s="6"/>
      <c r="E1" s="133"/>
    </row>
    <row r="2" spans="1:8" s="132" customFormat="1" ht="14.25" x14ac:dyDescent="0.2">
      <c r="A2" s="127" t="s">
        <v>245</v>
      </c>
      <c r="B2" s="6"/>
      <c r="C2" s="6"/>
      <c r="E2" s="133"/>
    </row>
    <row r="3" spans="1:8" s="132" customFormat="1" ht="14.25" x14ac:dyDescent="0.2">
      <c r="A3" s="7" t="s">
        <v>200</v>
      </c>
      <c r="B3" s="6"/>
      <c r="C3" s="6"/>
      <c r="E3" s="133"/>
    </row>
    <row r="4" spans="1:8" s="132" customFormat="1" ht="14.25" x14ac:dyDescent="0.2">
      <c r="A4" s="127"/>
      <c r="B4" s="6"/>
      <c r="C4" s="6"/>
      <c r="E4" s="133"/>
    </row>
    <row r="5" spans="1:8" s="132" customFormat="1" ht="15" thickBot="1" x14ac:dyDescent="0.25">
      <c r="A5" s="132" t="s">
        <v>283</v>
      </c>
      <c r="B5" s="6"/>
      <c r="C5" s="6"/>
      <c r="E5" s="133"/>
    </row>
    <row r="6" spans="1:8" ht="15.75" x14ac:dyDescent="0.2">
      <c r="A6" s="530" t="s">
        <v>291</v>
      </c>
      <c r="B6" s="531"/>
      <c r="C6" s="531"/>
      <c r="D6" s="531"/>
      <c r="E6" s="531"/>
      <c r="F6" s="532"/>
    </row>
    <row r="7" spans="1:8" ht="16.5" thickBot="1" x14ac:dyDescent="0.25">
      <c r="A7" s="237"/>
      <c r="B7" s="238"/>
      <c r="C7" s="238"/>
      <c r="D7" s="238"/>
      <c r="E7" s="238"/>
      <c r="F7" s="239"/>
    </row>
    <row r="8" spans="1:8" ht="15" x14ac:dyDescent="0.25">
      <c r="A8" s="192"/>
      <c r="B8" s="6"/>
      <c r="C8" s="6"/>
      <c r="D8" s="527" t="s">
        <v>242</v>
      </c>
      <c r="E8" s="528"/>
      <c r="F8" s="529"/>
      <c r="G8" s="132"/>
      <c r="H8" s="132"/>
    </row>
    <row r="9" spans="1:8" ht="15" thickBot="1" x14ac:dyDescent="0.25">
      <c r="A9" s="188"/>
      <c r="B9" s="132"/>
      <c r="C9" s="132"/>
      <c r="D9" s="193" t="s">
        <v>187</v>
      </c>
      <c r="E9" s="194" t="s">
        <v>188</v>
      </c>
      <c r="F9" s="195" t="s">
        <v>189</v>
      </c>
      <c r="G9" s="132"/>
      <c r="H9" s="132"/>
    </row>
    <row r="10" spans="1:8" ht="14.25" x14ac:dyDescent="0.2">
      <c r="A10" s="196" t="s">
        <v>74</v>
      </c>
      <c r="B10" s="197" t="s">
        <v>75</v>
      </c>
      <c r="C10" s="198">
        <v>0.05</v>
      </c>
      <c r="D10" s="219">
        <v>2.9700000000000001E-2</v>
      </c>
      <c r="E10" s="220">
        <v>5.0799999999999998E-2</v>
      </c>
      <c r="F10" s="221">
        <v>6.2700000000000006E-2</v>
      </c>
      <c r="G10" s="132"/>
      <c r="H10" s="132"/>
    </row>
    <row r="11" spans="1:8" ht="14.25" x14ac:dyDescent="0.2">
      <c r="A11" s="200" t="s">
        <v>76</v>
      </c>
      <c r="B11" s="201" t="s">
        <v>77</v>
      </c>
      <c r="C11" s="202">
        <v>8.6E-3</v>
      </c>
      <c r="D11" s="219">
        <f>0.3%+0.56%</f>
        <v>8.6E-3</v>
      </c>
      <c r="E11" s="220">
        <f>0.48%+0.85%</f>
        <v>1.3299999999999999E-2</v>
      </c>
      <c r="F11" s="221">
        <f>0.82%+0.89%</f>
        <v>1.7099999999999997E-2</v>
      </c>
      <c r="G11" s="132"/>
      <c r="H11" s="132"/>
    </row>
    <row r="12" spans="1:8" ht="14.25" x14ac:dyDescent="0.2">
      <c r="A12" s="200" t="s">
        <v>78</v>
      </c>
      <c r="B12" s="201" t="s">
        <v>79</v>
      </c>
      <c r="C12" s="202">
        <v>0.11</v>
      </c>
      <c r="D12" s="219">
        <v>7.7799999999999994E-2</v>
      </c>
      <c r="E12" s="220">
        <v>0.1085</v>
      </c>
      <c r="F12" s="221">
        <v>0.13550000000000001</v>
      </c>
      <c r="G12" s="132"/>
      <c r="H12" s="132"/>
    </row>
    <row r="13" spans="1:8" ht="14.25" x14ac:dyDescent="0.2">
      <c r="A13" s="200" t="s">
        <v>80</v>
      </c>
      <c r="B13" s="201" t="s">
        <v>81</v>
      </c>
      <c r="C13" s="203">
        <f>(1+E13)^(E14/252)-1</f>
        <v>1.8928642061037948E-3</v>
      </c>
      <c r="D13" s="219" t="s">
        <v>256</v>
      </c>
      <c r="E13" s="204">
        <v>0.1</v>
      </c>
      <c r="F13" s="199"/>
      <c r="G13" s="132"/>
      <c r="H13" s="132"/>
    </row>
    <row r="14" spans="1:8" ht="14.25" x14ac:dyDescent="0.2">
      <c r="A14" s="200" t="s">
        <v>82</v>
      </c>
      <c r="B14" s="525" t="s">
        <v>83</v>
      </c>
      <c r="C14" s="202">
        <v>0.03</v>
      </c>
      <c r="D14" s="258" t="s">
        <v>190</v>
      </c>
      <c r="E14" s="205">
        <v>5</v>
      </c>
      <c r="F14" s="206"/>
      <c r="G14" s="132"/>
      <c r="H14" s="132"/>
    </row>
    <row r="15" spans="1:8" ht="15" thickBot="1" x14ac:dyDescent="0.25">
      <c r="A15" s="207" t="s">
        <v>277</v>
      </c>
      <c r="B15" s="526"/>
      <c r="C15" s="208">
        <v>3.6499999999999998E-2</v>
      </c>
      <c r="D15" s="182"/>
      <c r="E15" s="209"/>
      <c r="F15" s="206"/>
      <c r="G15" s="132"/>
      <c r="H15" s="132"/>
    </row>
    <row r="16" spans="1:8" ht="14.25" x14ac:dyDescent="0.2">
      <c r="A16" s="210" t="s">
        <v>84</v>
      </c>
      <c r="B16" s="211"/>
      <c r="C16" s="212"/>
      <c r="D16" s="182"/>
      <c r="E16" s="209"/>
      <c r="F16" s="206"/>
      <c r="G16" s="132"/>
      <c r="H16" s="132"/>
    </row>
    <row r="17" spans="1:8" ht="15" thickBot="1" x14ac:dyDescent="0.25">
      <c r="A17" s="213" t="s">
        <v>85</v>
      </c>
      <c r="B17" s="214"/>
      <c r="C17" s="215"/>
      <c r="D17" s="182"/>
      <c r="E17" s="209"/>
      <c r="F17" s="206"/>
      <c r="G17" s="132"/>
      <c r="H17" s="132"/>
    </row>
    <row r="18" spans="1:8" ht="15.75" thickBot="1" x14ac:dyDescent="0.25">
      <c r="A18" s="216" t="s">
        <v>86</v>
      </c>
      <c r="B18" s="217"/>
      <c r="C18" s="218">
        <f>ROUND((((1+C10+C11)*(1+C12)*(1+C13))/(1-(C14+C15))-1),4)</f>
        <v>0.2611</v>
      </c>
      <c r="D18" s="222">
        <v>0.21429999999999999</v>
      </c>
      <c r="E18" s="223">
        <v>0.2717</v>
      </c>
      <c r="F18" s="224">
        <v>0.3362</v>
      </c>
      <c r="G18" s="132"/>
      <c r="H18" s="132"/>
    </row>
    <row r="19" spans="1:8" ht="14.25" x14ac:dyDescent="0.2">
      <c r="A19" s="132"/>
      <c r="B19" s="132"/>
      <c r="C19" s="132"/>
      <c r="D19" s="132"/>
      <c r="E19" s="133"/>
      <c r="F19" s="132"/>
      <c r="G19" s="132"/>
      <c r="H19" s="132"/>
    </row>
    <row r="20" spans="1:8" ht="14.25" x14ac:dyDescent="0.2">
      <c r="A20" s="132"/>
      <c r="B20" s="132"/>
      <c r="C20" s="132"/>
      <c r="D20" s="132"/>
      <c r="E20" s="133"/>
      <c r="F20" s="132"/>
      <c r="G20" s="132"/>
      <c r="H20" s="132"/>
    </row>
    <row r="21" spans="1:8" ht="14.25" x14ac:dyDescent="0.2">
      <c r="A21" s="132"/>
      <c r="B21" s="132"/>
      <c r="C21" s="132"/>
      <c r="D21" s="132"/>
      <c r="E21" s="133"/>
      <c r="F21" s="132"/>
      <c r="G21" s="132"/>
      <c r="H21" s="132"/>
    </row>
    <row r="22" spans="1:8" ht="14.25" x14ac:dyDescent="0.2">
      <c r="A22" s="132"/>
      <c r="B22" s="132"/>
      <c r="C22" s="132"/>
      <c r="D22" s="132"/>
      <c r="E22" s="133"/>
      <c r="F22" s="132"/>
      <c r="G22" s="132"/>
      <c r="H22" s="132"/>
    </row>
  </sheetData>
  <mergeCells count="3">
    <mergeCell ref="B14:B15"/>
    <mergeCell ref="D8:F8"/>
    <mergeCell ref="A6:F6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G17" sqref="G1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1" bestFit="1" customWidth="1"/>
    <col min="6" max="6" width="9.7109375" bestFit="1" customWidth="1"/>
  </cols>
  <sheetData>
    <row r="1" spans="1:8" s="132" customFormat="1" ht="14.25" x14ac:dyDescent="0.2">
      <c r="A1" s="9" t="s">
        <v>199</v>
      </c>
      <c r="B1" s="6"/>
      <c r="C1" s="6"/>
      <c r="E1" s="133"/>
    </row>
    <row r="2" spans="1:8" s="132" customFormat="1" ht="14.25" x14ac:dyDescent="0.2">
      <c r="A2" s="127" t="s">
        <v>245</v>
      </c>
      <c r="B2" s="6"/>
      <c r="C2" s="6"/>
      <c r="E2" s="133"/>
    </row>
    <row r="3" spans="1:8" s="132" customFormat="1" ht="14.25" x14ac:dyDescent="0.2">
      <c r="A3" s="7" t="s">
        <v>200</v>
      </c>
      <c r="B3" s="6"/>
      <c r="C3" s="6"/>
      <c r="E3" s="133"/>
    </row>
    <row r="4" spans="1:8" s="132" customFormat="1" ht="14.25" x14ac:dyDescent="0.2">
      <c r="A4" s="127"/>
      <c r="B4" s="6"/>
      <c r="C4" s="6"/>
      <c r="E4" s="133"/>
    </row>
    <row r="5" spans="1:8" s="132" customFormat="1" ht="15" thickBot="1" x14ac:dyDescent="0.25">
      <c r="A5" s="132" t="s">
        <v>283</v>
      </c>
      <c r="B5" s="6"/>
      <c r="C5" s="6"/>
      <c r="E5" s="133"/>
    </row>
    <row r="6" spans="1:8" ht="15.75" x14ac:dyDescent="0.2">
      <c r="A6" s="530" t="s">
        <v>291</v>
      </c>
      <c r="B6" s="531"/>
      <c r="C6" s="531"/>
      <c r="D6" s="531"/>
      <c r="E6" s="531"/>
      <c r="F6" s="532"/>
    </row>
    <row r="7" spans="1:8" ht="16.5" thickBot="1" x14ac:dyDescent="0.25">
      <c r="A7" s="237"/>
      <c r="B7" s="238"/>
      <c r="C7" s="238"/>
      <c r="D7" s="238"/>
      <c r="E7" s="238"/>
      <c r="F7" s="239"/>
    </row>
    <row r="8" spans="1:8" ht="15" x14ac:dyDescent="0.25">
      <c r="A8" s="192"/>
      <c r="B8" s="6"/>
      <c r="C8" s="6"/>
      <c r="D8" s="527" t="s">
        <v>242</v>
      </c>
      <c r="E8" s="528"/>
      <c r="F8" s="529"/>
      <c r="G8" s="132"/>
      <c r="H8" s="132"/>
    </row>
    <row r="9" spans="1:8" ht="15" thickBot="1" x14ac:dyDescent="0.25">
      <c r="A9" s="188"/>
      <c r="B9" s="132"/>
      <c r="C9" s="132"/>
      <c r="D9" s="193" t="s">
        <v>187</v>
      </c>
      <c r="E9" s="194" t="s">
        <v>188</v>
      </c>
      <c r="F9" s="195" t="s">
        <v>189</v>
      </c>
      <c r="G9" s="132"/>
      <c r="H9" s="132"/>
    </row>
    <row r="10" spans="1:8" ht="14.25" x14ac:dyDescent="0.2">
      <c r="A10" s="196" t="s">
        <v>74</v>
      </c>
      <c r="B10" s="197" t="s">
        <v>75</v>
      </c>
      <c r="C10" s="198">
        <v>0.03</v>
      </c>
      <c r="D10" s="219">
        <v>2.9700000000000001E-2</v>
      </c>
      <c r="E10" s="220">
        <v>5.0799999999999998E-2</v>
      </c>
      <c r="F10" s="221">
        <v>6.2700000000000006E-2</v>
      </c>
      <c r="G10" s="132"/>
      <c r="H10" s="132"/>
    </row>
    <row r="11" spans="1:8" ht="14.25" x14ac:dyDescent="0.2">
      <c r="A11" s="200" t="s">
        <v>76</v>
      </c>
      <c r="B11" s="201" t="s">
        <v>77</v>
      </c>
      <c r="C11" s="202">
        <v>8.6E-3</v>
      </c>
      <c r="D11" s="219">
        <f>0.3%+0.56%</f>
        <v>8.6E-3</v>
      </c>
      <c r="E11" s="220">
        <f>0.48%+0.85%</f>
        <v>1.3299999999999999E-2</v>
      </c>
      <c r="F11" s="221">
        <f>0.82%+0.89%</f>
        <v>1.7099999999999997E-2</v>
      </c>
      <c r="G11" s="132"/>
      <c r="H11" s="132"/>
    </row>
    <row r="12" spans="1:8" ht="14.25" x14ac:dyDescent="0.2">
      <c r="A12" s="200" t="s">
        <v>78</v>
      </c>
      <c r="B12" s="201" t="s">
        <v>79</v>
      </c>
      <c r="C12" s="202">
        <v>0.05</v>
      </c>
      <c r="D12" s="219">
        <v>7.7799999999999994E-2</v>
      </c>
      <c r="E12" s="220">
        <v>0.1085</v>
      </c>
      <c r="F12" s="221">
        <v>0.13550000000000001</v>
      </c>
      <c r="G12" s="132"/>
      <c r="H12" s="132"/>
    </row>
    <row r="13" spans="1:8" ht="14.25" x14ac:dyDescent="0.2">
      <c r="A13" s="200" t="s">
        <v>80</v>
      </c>
      <c r="B13" s="201" t="s">
        <v>81</v>
      </c>
      <c r="C13" s="203">
        <f>(1+E13)^(E14/252)-1</f>
        <v>1.8928642061037948E-3</v>
      </c>
      <c r="D13" s="219" t="s">
        <v>256</v>
      </c>
      <c r="E13" s="204">
        <v>0.1</v>
      </c>
      <c r="F13" s="199"/>
      <c r="G13" s="132"/>
      <c r="H13" s="132"/>
    </row>
    <row r="14" spans="1:8" ht="14.25" x14ac:dyDescent="0.2">
      <c r="A14" s="200" t="s">
        <v>82</v>
      </c>
      <c r="B14" s="525" t="s">
        <v>83</v>
      </c>
      <c r="C14" s="202">
        <v>0</v>
      </c>
      <c r="D14" s="258" t="s">
        <v>190</v>
      </c>
      <c r="E14" s="205">
        <v>5</v>
      </c>
      <c r="F14" s="206"/>
      <c r="G14" s="132"/>
      <c r="H14" s="132"/>
    </row>
    <row r="15" spans="1:8" ht="15" thickBot="1" x14ac:dyDescent="0.25">
      <c r="A15" s="207" t="s">
        <v>277</v>
      </c>
      <c r="B15" s="526"/>
      <c r="C15" s="208">
        <v>3.6499999999999998E-2</v>
      </c>
      <c r="D15" s="182"/>
      <c r="E15" s="209"/>
      <c r="F15" s="206"/>
      <c r="G15" s="132"/>
      <c r="H15" s="132"/>
    </row>
    <row r="16" spans="1:8" ht="14.25" x14ac:dyDescent="0.2">
      <c r="A16" s="210" t="s">
        <v>84</v>
      </c>
      <c r="B16" s="211"/>
      <c r="C16" s="212"/>
      <c r="D16" s="182"/>
      <c r="E16" s="209"/>
      <c r="F16" s="206"/>
      <c r="G16" s="132"/>
      <c r="H16" s="132"/>
    </row>
    <row r="17" spans="1:8" ht="15" thickBot="1" x14ac:dyDescent="0.25">
      <c r="A17" s="213" t="s">
        <v>85</v>
      </c>
      <c r="B17" s="214"/>
      <c r="C17" s="215"/>
      <c r="D17" s="182"/>
      <c r="E17" s="209"/>
      <c r="F17" s="206"/>
      <c r="G17" s="132"/>
      <c r="H17" s="132"/>
    </row>
    <row r="18" spans="1:8" ht="15.75" thickBot="1" x14ac:dyDescent="0.25">
      <c r="A18" s="216" t="s">
        <v>86</v>
      </c>
      <c r="B18" s="217"/>
      <c r="C18" s="218">
        <f>ROUND((((1+C10+C11)*(1+C12)*(1+C13))/(1-(C14+C15))-1),4)</f>
        <v>0.13400000000000001</v>
      </c>
      <c r="D18" s="222">
        <v>0.21429999999999999</v>
      </c>
      <c r="E18" s="223">
        <v>0.2717</v>
      </c>
      <c r="F18" s="224">
        <v>0.3362</v>
      </c>
      <c r="G18" s="132"/>
      <c r="H18" s="132"/>
    </row>
    <row r="19" spans="1:8" ht="14.25" x14ac:dyDescent="0.2">
      <c r="A19" s="132"/>
      <c r="B19" s="132"/>
      <c r="C19" s="132"/>
      <c r="D19" s="132"/>
      <c r="E19" s="133"/>
      <c r="F19" s="132"/>
      <c r="G19" s="132"/>
      <c r="H19" s="132"/>
    </row>
    <row r="20" spans="1:8" ht="14.25" x14ac:dyDescent="0.2">
      <c r="A20" s="132"/>
      <c r="B20" s="132"/>
      <c r="C20" s="132"/>
      <c r="D20" s="132"/>
      <c r="E20" s="133"/>
      <c r="F20" s="132"/>
      <c r="G20" s="132"/>
      <c r="H20" s="132"/>
    </row>
    <row r="21" spans="1:8" ht="14.25" x14ac:dyDescent="0.2">
      <c r="A21" s="132"/>
      <c r="B21" s="132"/>
      <c r="C21" s="132"/>
      <c r="D21" s="132"/>
      <c r="E21" s="133"/>
      <c r="F21" s="132"/>
      <c r="G21" s="132"/>
      <c r="H21" s="132"/>
    </row>
    <row r="22" spans="1:8" ht="14.25" x14ac:dyDescent="0.2">
      <c r="A22" s="132"/>
      <c r="B22" s="132"/>
      <c r="C22" s="132"/>
      <c r="D22" s="132"/>
      <c r="E22" s="133"/>
      <c r="F22" s="132"/>
      <c r="G22" s="132"/>
      <c r="H22" s="132"/>
    </row>
  </sheetData>
  <mergeCells count="3">
    <mergeCell ref="A6:F6"/>
    <mergeCell ref="D8:F8"/>
    <mergeCell ref="B14:B15"/>
  </mergeCells>
  <pageMargins left="0.90551181102362199" right="0.51181102362204722" top="0.74803149606299213" bottom="0.74803149606299213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17" sqref="G17"/>
    </sheetView>
  </sheetViews>
  <sheetFormatPr defaultRowHeight="15" x14ac:dyDescent="0.25"/>
  <cols>
    <col min="1" max="1" width="9.140625" style="454"/>
    <col min="2" max="2" width="35.42578125" style="454" customWidth="1"/>
    <col min="3" max="3" width="20.5703125" style="454" customWidth="1"/>
    <col min="4" max="4" width="9.42578125" style="454" customWidth="1"/>
    <col min="5" max="5" width="19.140625" style="454" customWidth="1"/>
    <col min="6" max="6" width="21.28515625" style="454" customWidth="1"/>
    <col min="7" max="16384" width="9.140625" style="454"/>
  </cols>
  <sheetData>
    <row r="1" spans="1:6" ht="15.75" x14ac:dyDescent="0.25">
      <c r="A1" s="453" t="s">
        <v>331</v>
      </c>
    </row>
    <row r="2" spans="1:6" ht="15.75" x14ac:dyDescent="0.25">
      <c r="A2" s="453" t="s">
        <v>431</v>
      </c>
    </row>
    <row r="3" spans="1:6" ht="15.75" x14ac:dyDescent="0.25">
      <c r="A3" s="453" t="s">
        <v>437</v>
      </c>
    </row>
    <row r="4" spans="1:6" x14ac:dyDescent="0.25">
      <c r="A4" s="455"/>
      <c r="C4" s="456"/>
    </row>
    <row r="5" spans="1:6" x14ac:dyDescent="0.25">
      <c r="A5" s="537" t="s">
        <v>441</v>
      </c>
      <c r="B5" s="537"/>
      <c r="C5" s="537"/>
    </row>
    <row r="6" spans="1:6" x14ac:dyDescent="0.25">
      <c r="A6" s="457" t="s">
        <v>284</v>
      </c>
      <c r="B6" s="457" t="s">
        <v>432</v>
      </c>
      <c r="C6" s="457" t="s">
        <v>438</v>
      </c>
    </row>
    <row r="7" spans="1:6" x14ac:dyDescent="0.25">
      <c r="A7" s="458">
        <v>1</v>
      </c>
      <c r="B7" s="459">
        <v>45108</v>
      </c>
      <c r="C7" s="460">
        <v>115600</v>
      </c>
    </row>
    <row r="8" spans="1:6" x14ac:dyDescent="0.25">
      <c r="A8" s="458">
        <v>2</v>
      </c>
      <c r="B8" s="459">
        <v>45139</v>
      </c>
      <c r="C8" s="460">
        <v>93740</v>
      </c>
    </row>
    <row r="9" spans="1:6" x14ac:dyDescent="0.25">
      <c r="A9" s="458">
        <v>3</v>
      </c>
      <c r="B9" s="459">
        <v>45170</v>
      </c>
      <c r="C9" s="460">
        <v>91180</v>
      </c>
    </row>
    <row r="10" spans="1:6" x14ac:dyDescent="0.25">
      <c r="A10" s="458">
        <v>4</v>
      </c>
      <c r="B10" s="459">
        <v>45200</v>
      </c>
      <c r="C10" s="460">
        <v>97300</v>
      </c>
    </row>
    <row r="11" spans="1:6" x14ac:dyDescent="0.25">
      <c r="A11" s="458"/>
      <c r="B11" s="458"/>
      <c r="C11" s="458"/>
    </row>
    <row r="12" spans="1:6" x14ac:dyDescent="0.25">
      <c r="A12" s="538" t="s">
        <v>433</v>
      </c>
      <c r="B12" s="539"/>
      <c r="C12" s="461">
        <f>SUM(C7:C11)</f>
        <v>397820</v>
      </c>
    </row>
    <row r="13" spans="1:6" x14ac:dyDescent="0.25">
      <c r="A13" s="462" t="s">
        <v>434</v>
      </c>
      <c r="B13" s="463"/>
      <c r="C13" s="464">
        <v>4</v>
      </c>
    </row>
    <row r="14" spans="1:6" x14ac:dyDescent="0.25">
      <c r="A14" s="462" t="s">
        <v>435</v>
      </c>
      <c r="B14" s="463"/>
      <c r="C14" s="465">
        <f>C12/C13</f>
        <v>99455</v>
      </c>
      <c r="E14" s="466"/>
      <c r="F14" s="466"/>
    </row>
    <row r="15" spans="1:6" ht="11.25" customHeight="1" x14ac:dyDescent="0.25">
      <c r="A15" s="540"/>
      <c r="B15" s="541"/>
      <c r="C15" s="467"/>
    </row>
    <row r="16" spans="1:6" x14ac:dyDescent="0.25">
      <c r="A16" s="542" t="s">
        <v>436</v>
      </c>
      <c r="B16" s="543"/>
      <c r="C16" s="468">
        <f>(C14-C15)/1000</f>
        <v>99.454999999999998</v>
      </c>
    </row>
    <row r="17" spans="1:5" ht="12" customHeight="1" x14ac:dyDescent="0.25">
      <c r="A17" s="540"/>
      <c r="B17" s="541"/>
      <c r="C17" s="467"/>
      <c r="E17" s="466"/>
    </row>
    <row r="18" spans="1:5" ht="30.75" customHeight="1" x14ac:dyDescent="0.25">
      <c r="A18" s="535" t="s">
        <v>440</v>
      </c>
      <c r="B18" s="536"/>
      <c r="C18" s="467">
        <f>C16*0.25</f>
        <v>24.86375</v>
      </c>
      <c r="E18" s="466"/>
    </row>
    <row r="19" spans="1:5" ht="21" customHeight="1" x14ac:dyDescent="0.25">
      <c r="A19" s="469" t="s">
        <v>439</v>
      </c>
      <c r="B19" s="470"/>
      <c r="C19" s="467">
        <f>C18*0.25</f>
        <v>6.2159374999999999</v>
      </c>
    </row>
    <row r="20" spans="1:5" x14ac:dyDescent="0.25">
      <c r="A20" s="533" t="s">
        <v>436</v>
      </c>
      <c r="B20" s="534"/>
      <c r="C20" s="467">
        <f>C16-C19</f>
        <v>93.239062500000003</v>
      </c>
    </row>
    <row r="22" spans="1:5" x14ac:dyDescent="0.25">
      <c r="C22" s="466"/>
    </row>
  </sheetData>
  <mergeCells count="7">
    <mergeCell ref="A20:B20"/>
    <mergeCell ref="A18:B18"/>
    <mergeCell ref="A5:C5"/>
    <mergeCell ref="A12:B12"/>
    <mergeCell ref="A15:B15"/>
    <mergeCell ref="A16:B16"/>
    <mergeCell ref="A17:B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6</vt:i4>
      </vt:variant>
    </vt:vector>
  </HeadingPairs>
  <TitlesOfParts>
    <vt:vector size="18" baseType="lpstr">
      <vt:lpstr>Resumo</vt:lpstr>
      <vt:lpstr>1. Coleta Domiciliar</vt:lpstr>
      <vt:lpstr>2. Contentores</vt:lpstr>
      <vt:lpstr>3. Destino Final</vt:lpstr>
      <vt:lpstr>4.Encargos Sociais</vt:lpstr>
      <vt:lpstr>5.CAGED</vt:lpstr>
      <vt:lpstr>6.BDI Coleta</vt:lpstr>
      <vt:lpstr>6.1 BDI Aterro</vt:lpstr>
      <vt:lpstr>7. Ton</vt:lpstr>
      <vt:lpstr>8. Depreciação</vt:lpstr>
      <vt:lpstr>9. Horários</vt:lpstr>
      <vt:lpstr>10. Roteiros</vt:lpstr>
      <vt:lpstr>AbaDeprec</vt:lpstr>
      <vt:lpstr>'1. Coleta Domiciliar'!Area_de_impressao</vt:lpstr>
      <vt:lpstr>'2. Contentores'!Area_de_impressao</vt:lpstr>
      <vt:lpstr>'3. Destino Final'!Area_de_impressao</vt:lpstr>
      <vt:lpstr>'4.Encargos Sociais'!Area_de_impressao</vt:lpstr>
      <vt:lpstr>'2. Contentores'!Titulos_de_impressao</vt:lpstr>
    </vt:vector>
  </TitlesOfParts>
  <Company>dmlu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Edgar</dc:creator>
  <cp:lastModifiedBy>Juridico-02</cp:lastModifiedBy>
  <cp:lastPrinted>2023-11-20T19:46:38Z</cp:lastPrinted>
  <dcterms:created xsi:type="dcterms:W3CDTF">2000-12-13T10:02:50Z</dcterms:created>
  <dcterms:modified xsi:type="dcterms:W3CDTF">2023-11-22T13:13:23Z</dcterms:modified>
</cp:coreProperties>
</file>