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codeName="{85106AD5-7665-2F1B-BB0A-E31DD656B090}"/>
  <workbookPr codeName="EstaPasta_de_trabalho"/>
  <workbookProtection workbookAlgorithmName="SHA-512" workbookHashValue="/isMjYOgAiSo8Ax5lkfo4CAQ6pyMtF588jtD0458X0wxfjLPxkB4+eplUXvTB3D9K5t1Mtqdh99MtmxG9Bq6Ow==" workbookSpinCount="100000" workbookSaltValue="l01JGXFN/gt7Dx39OZqS4Q==" lockStructure="1"/>
  <bookViews>
    <workbookView xWindow="65428" yWindow="65428" windowWidth="23256" windowHeight="12456" activeTab="3"/>
  </bookViews>
  <sheets>
    <sheet name="DADOS" sheetId="16" r:id="rId1"/>
    <sheet name="BDI (1)" sheetId="17" r:id="rId2"/>
    <sheet name="BDI (2)" sheetId="18" r:id="rId3"/>
    <sheet name="PO" sheetId="12" r:id="rId4"/>
    <sheet name="PLQ" sheetId="13" r:id="rId5"/>
    <sheet name="CFF" sheetId="11" r:id="rId6"/>
  </sheets>
  <definedNames>
    <definedName name="_xlnm.Print_Area" localSheetId="1">'BDI (1)'!$I$1:$R$50</definedName>
    <definedName name="_xlnm.Print_Area" localSheetId="2">'BDI (2)'!$I$1:$R$50</definedName>
    <definedName name="_xlnm.Print_Area" localSheetId="5">'CFF'!$L$1:$AF$87</definedName>
    <definedName name="_xlnm.Print_Area" localSheetId="0">'DADOS'!$A$1:$X$87</definedName>
    <definedName name="_xlnm.Print_Area" localSheetId="4">'PLQ'!$B$1:$Z$180</definedName>
    <definedName name="_xlnm.Print_Area" localSheetId="3">'PO'!$K$1:$T$189</definedName>
    <definedName name="DATABASE">TEXT(Import.DataBase,"mm-aaaa")</definedName>
    <definedName name="CFF.ColunaPadrão">'CFF'!$AK:$AK</definedName>
    <definedName name="CFF.Colunas">'CFF'!$P$10:$AF$10</definedName>
    <definedName name="CFF.Dados">OFFSET('CFF'!$L$17,1,0):OFFSET('CFF'!$AF$81,-1,-1)</definedName>
    <definedName name="CFF.IncluirLinha">MAX('PO'!$V$12:$V$174)*CFF.NumLinha-ROW('CFF'!$F$81)+ROW('CFF'!$F$17)+1</definedName>
    <definedName name="CFF.Item">OFFSET('CFF'!$L$17,1,0):OFFSET('CFF'!$AF$81,-1,-1)</definedName>
    <definedName name="CFF.LinhaPadrão">'CFF'!$A$11:$W$11</definedName>
    <definedName name="CFF.NumLinha">ROW('CFF'!$D$14)-ROW('CFF'!$D$10)-1</definedName>
    <definedName name="Código" localSheetId="3">'PO'!$M1</definedName>
    <definedName name="Composições.LinhaPadrão">#REF!</definedName>
    <definedName name="Cotações.LinhaPadrão">#REF!</definedName>
    <definedName name="Dados.Assinatura1">'DADOS'!$B$54:$E$57</definedName>
    <definedName name="Dados.Assinatura2">'DADOS'!$H$54:$K$57</definedName>
    <definedName name="Dados.Lista.Acompanhamento">'DADOS'!$P$122:$P$123</definedName>
    <definedName name="Dados.Lista.BDI">'DADOS'!$T$37:$X$37</definedName>
    <definedName name="Dados.Lista.Localidade">'DADOS'!$L$107:$L$134</definedName>
    <definedName name="Dados.Lista.RegimeExecução">'DADOS'!$P$115:$P$120</definedName>
    <definedName name="EXCELVERSAO">IF(MID(INFO("SOLTAR"),1,2)*1&lt;=11,"Excel 2003","Superior")</definedName>
    <definedName name="Fonte" localSheetId="3">'PO'!$L1</definedName>
    <definedName name="Import.Ação">'DADOS'!$J$29</definedName>
    <definedName name="Import.Apelido">'DADOS'!$Q$32</definedName>
    <definedName name="Import.CNPJ">'DADOS'!$B$57</definedName>
    <definedName name="Import.Código">OFFSET('PO'!$M$12,1,0):OFFSET('PO'!$M$174,-1,0)</definedName>
    <definedName name="Import.CR">'DADOS'!$A$29</definedName>
    <definedName name="Import.CTEF">'DADOS'!$A$43</definedName>
    <definedName name="Import.CustoUnitário">OFFSET('PO'!$Q$12,1,0):OFFSET('PO'!$Q$174,-1,0)</definedName>
    <definedName name="Import.DadosBDI">'DADOS'!$S$108:$S$112</definedName>
    <definedName name="Import.DataAssinaturaCTEF">'DADOS'!$U$43</definedName>
    <definedName name="Import.DataBase">'DADOS'!$A$38</definedName>
    <definedName name="Import.DataBaseLicit">'DADOS'!$H$43</definedName>
    <definedName name="Import.DataCot">OFFSET(#REF!,1,0):OFFSET(#REF!,-1,0)</definedName>
    <definedName name="Import.DataCotIndice">OFFSET(#REF!,1,0):OFFSET(#REF!,-1,0)</definedName>
    <definedName name="Import.DataInícioObra">'DADOS'!$A$48</definedName>
    <definedName name="Import.DescComp">OFFSET(#REF!,1,0):OFFSET(#REF!,-1,0)</definedName>
    <definedName name="Import.DescCot">OFFSET(#REF!,1,0):OFFSET(#REF!,-1,0)</definedName>
    <definedName name="Import.DescLote">'DADOS'!$G$38</definedName>
    <definedName name="Import.Descrição">OFFSET('PO'!$N$12,1,0):OFFSET('PO'!$N$174,-1,0)</definedName>
    <definedName name="Import.Desoneracao">'DADOS'!$C$38</definedName>
    <definedName name="Import.DesoneracaoLicit">'DADOS'!$J$43</definedName>
    <definedName name="Import.Empresa">'DADOS'!$C$43</definedName>
    <definedName name="Import.FontComp">OFFSET(#REF!,1,0):OFFSET(#REF!,-1,0)</definedName>
    <definedName name="Import.Fonte">OFFSET('PO'!$L$12,1,0):OFFSET('PO'!$L$174,-1,0)</definedName>
    <definedName name="Import.FrenteDeObra">'PLQ'!$F$9:OFFSET('PLQ'!$Z$9,0,-1)</definedName>
    <definedName name="Import.Gestor">'DADOS'!$C$29</definedName>
    <definedName name="Import.IndiceAtual">OFFSET(#REF!,1,0):OFFSET(#REF!,-1,0)</definedName>
    <definedName name="Import.IndiceCot">OFFSET(#REF!,1,0):OFFSET(#REF!,-1,0)</definedName>
    <definedName name="Import.Item">OFFSET('PO'!$K$12,1,0):OFFSET('PO'!$K$174,-1,0)</definedName>
    <definedName name="Import.Localidade">'DADOS'!$K$32</definedName>
    <definedName name="Import.LocalSINAPI">'DADOS'!$D$38</definedName>
    <definedName name="Import.Município">'DADOS'!$G$32</definedName>
    <definedName name="Import.Nível">OFFSET('PO'!$J$12,1,0):OFFSET('PO'!$J$174,-1,0)</definedName>
    <definedName name="Import.NomeEmpresaForn">OFFSET(#REF!,1,0):OFFSET(#REF!,-1,0)</definedName>
    <definedName name="Import.ObjetoCR">'DADOS'!$P$29</definedName>
    <definedName name="Import.ObjetoCTEF">'DADOS'!$O$43</definedName>
    <definedName name="Import.ObsComp">OFFSET(#REF!,1,0):OFFSET(#REF!,-1,0)</definedName>
    <definedName name="Import.ObsCot">OFFSET(#REF!,1,0):OFFSET(#REF!,-1,0)</definedName>
    <definedName name="Import.ObsForn">OFFSET(#REF!,1,0):OFFSET(#REF!,-1,0)</definedName>
    <definedName name="Import.ObsIndice">OFFSET(#REF!,1,0):OFFSET(#REF!,-1,0)</definedName>
    <definedName name="Import.PLQ">OFFSET('PLQ'!$F$12,1,0):OFFSET('PLQ'!$Z$174,-1,-1)</definedName>
    <definedName name="Import.POArred">'PO'!$X$3:$X$7</definedName>
    <definedName name="Import.PreçoTotal">OFFSET('PO'!$T$12,1,0):OFFSET('PO'!$T$174,-1,0)</definedName>
    <definedName name="Import.PreçoUnitário">OFFSET('PO'!$S$12,1,0):OFFSET('PO'!$S$174,-1,0)</definedName>
    <definedName name="Import.Programa">'DADOS'!$F$29</definedName>
    <definedName name="Import.Proponente">'DADOS'!$A$32</definedName>
    <definedName name="Import.Quantidade">OFFSET('PO'!$P$12,1,0):OFFSET('PO'!$P$174,-1,0)</definedName>
    <definedName name="Import.RegimeExecução">'DADOS'!$K$43</definedName>
    <definedName name="Import.TelefoneForn">OFFSET(#REF!,1,0):OFFSET(#REF!,-1,0)</definedName>
    <definedName name="Import.TipoComp">OFFSET(#REF!,1,0):OFFSET(#REF!,-1,0)</definedName>
    <definedName name="Import.TipoCot">OFFSET(#REF!,1,0):OFFSET(#REF!,-1,0)</definedName>
    <definedName name="Import.Unidade">OFFSET('PO'!$O$12,1,0):OFFSET('PO'!$O$174,-1,0)</definedName>
    <definedName name="Import.UnidadeComp">OFFSET(#REF!,1,0):OFFSET(#REF!,-1,0)</definedName>
    <definedName name="Import.UnidCot">OFFSET(#REF!,1,0):OFFSET(#REF!,-1,0)</definedName>
    <definedName name="Import.Valor1Indice">OFFSET(#REF!,1,0):OFFSET(#REF!,-1,0)</definedName>
    <definedName name="Import.Valor2Indice">OFFSET(#REF!,1,0):OFFSET(#REF!,-1,0)</definedName>
    <definedName name="Import.ValorBDI">OFFSET('PO'!$Z$12,1,0):OFFSET('PO'!$Z$174,-1,0)</definedName>
    <definedName name="Import.ValorCot">OFFSET(#REF!,1,0):OFFSET(#REF!,-1,0)</definedName>
    <definedName name="Import.Vigência">'DADOS'!$W$43</definedName>
    <definedName name="Índices.LinhaPadrão">#REF!</definedName>
    <definedName name="Linhacabeçalhodados">'DADOS'!$A$220:$X$220</definedName>
    <definedName name="LinhaEncargosSociais">'PO'!$K$175</definedName>
    <definedName name="linhaSINAPIxls" localSheetId="3">'PO'!$X1</definedName>
    <definedName name="ListaFornecedor">OFFSET(#REF!,0,0,MAX(#REF!)+1)</definedName>
    <definedName name="ListaIndice">OFFSET(#REF!,1,0,MAX(#REF!))</definedName>
    <definedName name="NMaxCrono">'CFF'!$A$9</definedName>
    <definedName name="Objeto">'DADOS'!$A$1</definedName>
    <definedName name="ORÇAMENTO.OpcaoCusto">'PO'!$Q$10</definedName>
    <definedName name="PLQ.ColunaPadrão">'PLQ'!$AE:$AE</definedName>
    <definedName name="PLQ.Colunas">'PLQ'!$F$10:$Z$10</definedName>
    <definedName name="PLQ.FormulaQuant">'PLQ'!$E$7</definedName>
    <definedName name="PLQ.Item">'PLQ'!$B$9:OFFSET('PLQ'!$B$174,-1,0)</definedName>
    <definedName name="PLQ.LinhaPadrão">'PLQ'!$A$11:$Z$11</definedName>
    <definedName name="PLQ.qtde.frentes">COUNTA('PLQ'!$F$9:$Z$9)</definedName>
    <definedName name="PO.BDI">OFFSET('PO'!$R$12,1,0):OFFSET('PO'!$R$174,-1,0)</definedName>
    <definedName name="PO.CustoRef">OFFSET('PO'!$Y$12,1,0):OFFSET('PO'!$Y$174,-1,0)</definedName>
    <definedName name="PO.CustoUnitario">ROUND('PO'!$Q1,15-13*'PO'!$X$4)</definedName>
    <definedName name="PO.Dados">'PO'!$C$12:OFFSET('PO'!$Z$174,-1,0)</definedName>
    <definedName name="PO.FormulaQuant">'PO'!$P$9</definedName>
    <definedName name="PO.LinhaPadrão">'PO'!$C$11:$Z$11</definedName>
    <definedName name="PO.PrecoUnitario">ROUND('PO'!$S1,15-13*'PO'!$X$6)</definedName>
    <definedName name="PO.Quantidade">ROUND('PO'!$P1,15-13*'PO'!$X$3)</definedName>
    <definedName name="Referencia.Descricao">IF(ISNUMBER('PO'!linhaSINAPIxls),INDEX(INDIRECT("'[Referência "&amp;_XLNM.DATABASE&amp;".xls]Banco'!$b:$g"),'PO'!linhaSINAPIxls,3),"")</definedName>
    <definedName name="Referencia.Desonerado">IF(ISNUMBER('PO'!linhaSINAPIxls),VALUE(INDEX(INDIRECT("'[Referência "&amp;_XLNM.DATABASE&amp;".xls]Banco'!$b:$g"),'PO'!linhaSINAPIxls,5)),0)</definedName>
    <definedName name="Referencia.NaoDesonerado">IF(ISNUMBER('PO'!linhaSINAPIxls),VALUE(INDEX(INDIRECT("'[Referência "&amp;_XLNM.DATABASE&amp;".xls]Banco'!$b:$g"),'PO'!linhaSINAPIxls,6)),0)</definedName>
    <definedName name="Referencia.Unidade">IF(ISNUMBER('PO'!linhaSINAPIxls),INDEX(INDIRECT("'[Referência "&amp;_XLNM.DATABASE&amp;".xls]Banco'!$b:$g"),'PO'!linhaSINAPIxls,4),"")</definedName>
    <definedName name="SaldoPerc">1-IF(ISNUMBER('CFF'!XFD2),'CFF'!XFD2,0)</definedName>
    <definedName name="SENHAGT" hidden="1">"quantidades"</definedName>
    <definedName name="SomaAgrup">SUMIF(OFFSET('PO'!$A1,1,0,'PO'!$B1),"S",OFFSET('PO'!A1,1,0,'PO'!$B1))</definedName>
    <definedName name="TipoOrçamento">"BASE"</definedName>
    <definedName name="Versao">'DADOS'!$A$2</definedName>
    <definedName name="VTOTAL1">ROUND(PO.Quantidade*PO.PrecoUnitario,15-13*'PO'!$X$7)</definedName>
    <definedName name="_xlnm.Print_Titles" localSheetId="3">'PO'!$10:$10</definedName>
    <definedName name="_xlnm.Print_Titles" localSheetId="4">'PLQ'!$B:$E,'PLQ'!$9:$10</definedName>
    <definedName name="_xlnm.Print_Titles" localSheetId="5">'CFF'!$L:$O,'CFF'!$10:$10</definedName>
  </definedNames>
  <calcPr calcId="191029"/>
  <extLst/>
</workbook>
</file>

<file path=xl/sharedStrings.xml><?xml version="1.0" encoding="utf-8"?>
<sst xmlns="http://schemas.openxmlformats.org/spreadsheetml/2006/main" count="1194" uniqueCount="412">
  <si>
    <t>OBJETO</t>
  </si>
  <si>
    <t>2.2 Na Versão Excel 2007 ou superior, selecione na Faixa de Opções: Arquivo --&gt; Opções --&gt; Central de Confiabilidade --&gt; Configurações da Central de Confiabilidade --&gt; Configurações de Macro --&gt; Habilitar todas as Macros --&gt; Clique em OK --&gt; Feche e abra o excel novamente para utilizar a Planilha.</t>
  </si>
  <si>
    <t>PO - Planilha Orçamentária / PLQ - Planilha de Levantamento de Quantidades / CFF - Cronograma Físico Financeiro</t>
  </si>
  <si>
    <t>Nível</t>
  </si>
  <si>
    <t>Código</t>
  </si>
  <si>
    <t>BDI
(%)</t>
  </si>
  <si>
    <t>Preço Total
(R$)</t>
  </si>
  <si>
    <t>BDI 1</t>
  </si>
  <si>
    <t>BDI 2</t>
  </si>
  <si>
    <t>BDI 3</t>
  </si>
  <si>
    <t>BDI 4</t>
  </si>
  <si>
    <t>BDI 5</t>
  </si>
  <si>
    <t>DESCRIÇÃO DO LOTE</t>
  </si>
  <si>
    <t>DESONERAÇÃO</t>
  </si>
  <si>
    <t>LOCALIDADE DO SINAPI</t>
  </si>
  <si>
    <t>DATA INÍCIO</t>
  </si>
  <si>
    <t>DATA BASE</t>
  </si>
  <si>
    <t>Título:</t>
  </si>
  <si>
    <t>Exibir o 2° Quadro de Assinatura?</t>
  </si>
  <si>
    <t>CRONOGRAMA GLOBAL DO LOTE</t>
  </si>
  <si>
    <t>Acumulado (R$)</t>
  </si>
  <si>
    <t>Observações:</t>
  </si>
  <si>
    <t xml:space="preserve">    CFF -</t>
  </si>
  <si>
    <r>
      <t xml:space="preserve">2. Para funcionamento pleno desse arquivo, a </t>
    </r>
    <r>
      <rPr>
        <b/>
        <sz val="10"/>
        <rFont val="Arial"/>
        <family val="2"/>
      </rPr>
      <t>Segurança de Macros do Excel deve ser habilitada</t>
    </r>
    <r>
      <rPr>
        <sz val="10"/>
        <rFont val="Arial"/>
        <family val="2"/>
      </rPr>
      <t>.</t>
    </r>
  </si>
  <si>
    <r>
      <t xml:space="preserve">3. O Preenchimento deve ser feito somente nas </t>
    </r>
    <r>
      <rPr>
        <b/>
        <sz val="10"/>
        <rFont val="Arial"/>
        <family val="2"/>
      </rPr>
      <t>células em amarelo</t>
    </r>
    <r>
      <rPr>
        <sz val="10"/>
        <rFont val="Arial"/>
        <family val="2"/>
      </rPr>
      <t>. As outras células são de preenchimento Automático.</t>
    </r>
  </si>
  <si>
    <t>MIN</t>
  </si>
  <si>
    <t>MED</t>
  </si>
  <si>
    <t>MAX</t>
  </si>
  <si>
    <t>Construção e Reforma de Edifícios</t>
  </si>
  <si>
    <t>AC</t>
  </si>
  <si>
    <t>SG</t>
  </si>
  <si>
    <t>R</t>
  </si>
  <si>
    <t>DF</t>
  </si>
  <si>
    <t>BDI PAD</t>
  </si>
  <si>
    <t>Construção de Praças Urbanas, Rodovias, Ferrovias e recapeamento e pavimentação de vias urbanas</t>
  </si>
  <si>
    <t>TIPO DE OBRA DO EMPREENDIMENTO</t>
  </si>
  <si>
    <t>Conforme legislação tributária municipal, definir estimativa de percentual da base de cálculo para o ISS:</t>
  </si>
  <si>
    <t>Construção de Redes de Abastecimento de Água, Coleta de Esgoto</t>
  </si>
  <si>
    <t>Sobre a base de cálculo, definir a respectiva alíquota do ISS (entre 2% e 5%):</t>
  </si>
  <si>
    <t>Itens</t>
  </si>
  <si>
    <t>Siglas</t>
  </si>
  <si>
    <t>% Adotado</t>
  </si>
  <si>
    <t>Situação</t>
  </si>
  <si>
    <t>1º Quartil</t>
  </si>
  <si>
    <t>Médio</t>
  </si>
  <si>
    <t>3º Quartil</t>
  </si>
  <si>
    <t>-</t>
  </si>
  <si>
    <t>Construção e Manutenção de Estações e Redes de Distribuição de Energia Elétrica</t>
  </si>
  <si>
    <t>Tributos (impostos COFINS 3%, e  PIS 0,65%)</t>
  </si>
  <si>
    <t>CP</t>
  </si>
  <si>
    <t>Tributos (ISS, variável de acordo com o município)</t>
  </si>
  <si>
    <t>ISS</t>
  </si>
  <si>
    <t>CPRB</t>
  </si>
  <si>
    <t>BDI SEM desoneração
(Fórmula Acórdão TCU)</t>
  </si>
  <si>
    <t>Obras Portuárias, Marítimas e Fluviais</t>
  </si>
  <si>
    <t>BDI COM desoneração</t>
  </si>
  <si>
    <t>BDI DES</t>
  </si>
  <si>
    <t>Responsável Técnico</t>
  </si>
  <si>
    <t>Responsável Tomador</t>
  </si>
  <si>
    <t>Estudos e Projetos, Planos e Gerenciamento e outros correlatos</t>
  </si>
  <si>
    <t>Cargo:</t>
  </si>
  <si>
    <t>Os valores de BDI foram calculados com o emprego da fórmula:</t>
  </si>
  <si>
    <t>Encargos sociais:</t>
  </si>
  <si>
    <t>PLQ -</t>
  </si>
  <si>
    <t>PLANILHA DE LEVANTAMENTO DE QUANTIDADES</t>
  </si>
  <si>
    <t>São Paulo / SP</t>
  </si>
  <si>
    <t>Campo Grande / MS</t>
  </si>
  <si>
    <t>Cuiabá / MT</t>
  </si>
  <si>
    <t>Curitiba / PR</t>
  </si>
  <si>
    <t>Florianópolis / SC</t>
  </si>
  <si>
    <t>Fortaleza / CE</t>
  </si>
  <si>
    <t>Goiânia / GO</t>
  </si>
  <si>
    <t>João Pessoa / PB</t>
  </si>
  <si>
    <t>Macapá / AP</t>
  </si>
  <si>
    <t>Maceió / AL</t>
  </si>
  <si>
    <t>Manaus / AM</t>
  </si>
  <si>
    <t>Natal / RN</t>
  </si>
  <si>
    <t>Palmas / TO</t>
  </si>
  <si>
    <t>Porto Alegre / RS</t>
  </si>
  <si>
    <t>Porto Velho / RO</t>
  </si>
  <si>
    <t>Recife / PE</t>
  </si>
  <si>
    <t>Rio Branco / AC</t>
  </si>
  <si>
    <t>Rio de Janeiro / RJ</t>
  </si>
  <si>
    <t>Salvador / BA</t>
  </si>
  <si>
    <t>São Luís / MA</t>
  </si>
  <si>
    <t>Teresina / PI</t>
  </si>
  <si>
    <t>Vitória / ES</t>
  </si>
  <si>
    <t>CTEF n.º</t>
  </si>
  <si>
    <t>REGIME DE EXECUÇÃO</t>
  </si>
  <si>
    <t>DATA ASSINATURA</t>
  </si>
  <si>
    <t>VIGÊNCIA</t>
  </si>
  <si>
    <t>DESON.</t>
  </si>
  <si>
    <t>ACOMP.</t>
  </si>
  <si>
    <t>OBJETO CTEF</t>
  </si>
  <si>
    <t>Tarefa</t>
  </si>
  <si>
    <t>Contratação Integrada</t>
  </si>
  <si>
    <t>Não se aplica</t>
  </si>
  <si>
    <t>BM</t>
  </si>
  <si>
    <t>PLE</t>
  </si>
  <si>
    <t>Meta</t>
  </si>
  <si>
    <t>Nível 2</t>
  </si>
  <si>
    <t>Nível 3</t>
  </si>
  <si>
    <t>Nível 4</t>
  </si>
  <si>
    <t>Serviço</t>
  </si>
  <si>
    <t>K1</t>
  </si>
  <si>
    <t>K2</t>
  </si>
  <si>
    <t/>
  </si>
  <si>
    <t>K3</t>
  </si>
  <si>
    <t xml:space="preserve"> - 1</t>
  </si>
  <si>
    <t>N1</t>
  </si>
  <si>
    <t>N2</t>
  </si>
  <si>
    <t xml:space="preserve">NOME DA EMPRESA </t>
  </si>
  <si>
    <t>Empreitada Preço Global</t>
  </si>
  <si>
    <t>Empreitada Preço Unitário</t>
  </si>
  <si>
    <t>Empreitada Integral</t>
  </si>
  <si>
    <t>CRONOGRAMA FÍSICO-FINANCEIRO</t>
  </si>
  <si>
    <t>Tributos (Contribuição Previdenciária sobre a Receita Bruta - 0% ou 4,5% - Desoneração)</t>
  </si>
  <si>
    <t>Anexo: Relatório Técnico Circunstanciado justificando a adoção do percentual de cada parcela do BDI.</t>
  </si>
  <si>
    <t>pedir anexo</t>
  </si>
  <si>
    <t>anexo apresentado</t>
  </si>
  <si>
    <t>Local</t>
  </si>
  <si>
    <t>Data</t>
  </si>
  <si>
    <t>Concatenação Fonte-Código</t>
  </si>
  <si>
    <t>Altura</t>
  </si>
  <si>
    <t>Czero</t>
  </si>
  <si>
    <t>Cnível</t>
  </si>
  <si>
    <t>Nmax</t>
  </si>
  <si>
    <t>N3</t>
  </si>
  <si>
    <t>N4</t>
  </si>
  <si>
    <t>Último Nível</t>
  </si>
  <si>
    <t>BancoRef</t>
  </si>
  <si>
    <t>(Selecione uma Localidade)</t>
  </si>
  <si>
    <t>Aracaju / SE</t>
  </si>
  <si>
    <t>Belém / PA</t>
  </si>
  <si>
    <t>Belo Horizonte / MG</t>
  </si>
  <si>
    <t>Boa Vista / RR</t>
  </si>
  <si>
    <t>Brasília / DF</t>
  </si>
  <si>
    <t>Fornecimento de Materiais e Equipamentos (aquisição indireta - em conjunto com licitação de obras)</t>
  </si>
  <si>
    <t>Fornecimento de Materiais e Equipamentos (aquisição direta)</t>
  </si>
  <si>
    <t>Valores Totais (R$)</t>
  </si>
  <si>
    <t>Nome:</t>
  </si>
  <si>
    <t>Descrição</t>
  </si>
  <si>
    <t>Parcela (%)</t>
  </si>
  <si>
    <t>Parcela (R$)</t>
  </si>
  <si>
    <t>Acumulado (%)</t>
  </si>
  <si>
    <t>Fonte</t>
  </si>
  <si>
    <t>Item</t>
  </si>
  <si>
    <t>Quantidade</t>
  </si>
  <si>
    <t>Unidade</t>
  </si>
  <si>
    <t>Nº TC/CR</t>
  </si>
  <si>
    <t>Preço Unitário (R$)</t>
  </si>
  <si>
    <t>n1</t>
  </si>
  <si>
    <t>n2</t>
  </si>
  <si>
    <t>n3</t>
  </si>
  <si>
    <t>n4</t>
  </si>
  <si>
    <t>n5</t>
  </si>
  <si>
    <t>LOTE</t>
  </si>
  <si>
    <t>Unid.</t>
  </si>
  <si>
    <t>Erro de Dados</t>
  </si>
  <si>
    <t>Descrição das Metas / Macrosserviços</t>
  </si>
  <si>
    <t>Lista Crono</t>
  </si>
  <si>
    <t>4.1.2. Preencha no quadro abaixo as informações sobre o orçamento licitado:</t>
  </si>
  <si>
    <t>NOME DA EMPRESA / CNPJ:</t>
  </si>
  <si>
    <t>L</t>
  </si>
  <si>
    <t>Grau de Sigilo</t>
  </si>
  <si>
    <t>#PUBLICO</t>
  </si>
  <si>
    <t>PO - PLANILHA ORÇAMENTÁRIA</t>
  </si>
  <si>
    <t>INSTRUÇÕES DE USO E PREENCHIMENTO</t>
  </si>
  <si>
    <t>2.1  Na Versão Excel 2003, selecione na Faixa de Opções: Ferramentas --&gt; Macro --&gt; Segurança --&gt; Na aba Nível de Segurança selecione a Opção "Baixo" --&gt; Clique em OK --&gt; Feche e abra o Excel novamente para utilizar a Planilha.</t>
  </si>
  <si>
    <t>GESTOR</t>
  </si>
  <si>
    <t>PROGRAMA</t>
  </si>
  <si>
    <t>AÇÃO / MODALIDADE</t>
  </si>
  <si>
    <t>PROPONENTE / TOMADOR</t>
  </si>
  <si>
    <t>MUNICÍPIO / UF</t>
  </si>
  <si>
    <t>LOCALIDADE / ENDEREÇO</t>
  </si>
  <si>
    <t>Nível Máx Crono</t>
  </si>
  <si>
    <t>Nº OPERAÇÃO</t>
  </si>
  <si>
    <t>VTOTAL SOMA</t>
  </si>
  <si>
    <r>
      <t xml:space="preserve">1. Este documento somente pode ser utilizado nas versões do </t>
    </r>
    <r>
      <rPr>
        <b/>
        <sz val="10"/>
        <rFont val="Arial"/>
        <family val="2"/>
      </rPr>
      <t>Excel 2003 ou superior</t>
    </r>
    <r>
      <rPr>
        <sz val="10"/>
        <rFont val="Arial"/>
        <family val="2"/>
      </rPr>
      <t xml:space="preserve">. Não deve ser utilizado versões do BROffice. O Documento deve ser salvo </t>
    </r>
    <r>
      <rPr>
        <b/>
        <sz val="10"/>
        <rFont val="Arial"/>
        <family val="2"/>
      </rPr>
      <t>SOMENTE</t>
    </r>
    <r>
      <rPr>
        <sz val="10"/>
        <rFont val="Arial"/>
        <family val="2"/>
      </rPr>
      <t xml:space="preserve"> em extensão habilitada para macros </t>
    </r>
    <r>
      <rPr>
        <b/>
        <sz val="10"/>
        <rFont val="Arial"/>
        <family val="2"/>
      </rPr>
      <t xml:space="preserve">(.xls ou .xlsm). </t>
    </r>
    <r>
      <rPr>
        <sz val="10"/>
        <rFont val="Arial"/>
        <family val="2"/>
      </rPr>
      <t xml:space="preserve">Se o documento for salvo na extensão </t>
    </r>
    <r>
      <rPr>
        <b/>
        <sz val="10"/>
        <rFont val="Arial"/>
        <family val="2"/>
      </rPr>
      <t>.xlsx</t>
    </r>
    <r>
      <rPr>
        <sz val="10"/>
        <rFont val="Arial"/>
        <family val="2"/>
      </rPr>
      <t xml:space="preserve">, o arquivo será </t>
    </r>
    <r>
      <rPr>
        <b/>
        <sz val="10"/>
        <rFont val="Arial"/>
        <family val="2"/>
      </rPr>
      <t>INUTILIZADO.</t>
    </r>
    <r>
      <rPr>
        <sz val="10"/>
        <rFont val="Arial"/>
        <family val="2"/>
      </rPr>
      <t xml:space="preserve"> </t>
    </r>
  </si>
  <si>
    <t>APELIDO DO EMPREENDIMENTO</t>
  </si>
  <si>
    <t>Arredondamento</t>
  </si>
  <si>
    <t>Custo Unitáro</t>
  </si>
  <si>
    <t>BDI</t>
  </si>
  <si>
    <t>Preço Unitário</t>
  </si>
  <si>
    <t>Preço Total</t>
  </si>
  <si>
    <t>4. Preferências de Elaboração do Orçamento</t>
  </si>
  <si>
    <t>4.1. Preenchimento de Quantidades</t>
  </si>
  <si>
    <t>ERRO GERAL</t>
  </si>
  <si>
    <t>5. Ordem de Preenchimento</t>
  </si>
  <si>
    <t>5.1. na Aba DADOS</t>
  </si>
  <si>
    <t>5.1.1. Preencha no Quadro abaixo os Dados do TC/CR:</t>
  </si>
  <si>
    <t>5.1.2. Preencha no quadro abaixo as informações sobre o orçamento:</t>
  </si>
  <si>
    <t>5.1.3. Preencha a data de Início da Obra:</t>
  </si>
  <si>
    <t>5.1.4. Preencha no(s) Quadro(s) abaixo os Dados do(s) Responsável(is) Técnico(s) pela elaboração do Orçamento:</t>
  </si>
  <si>
    <t>5.2. Legenda das Abas</t>
  </si>
  <si>
    <t>5.2.1.  LARANJA: Aba DADOS. Preenchimento Obrigatório. Impressão Dispensada.</t>
  </si>
  <si>
    <t>5.2.2.  AMARELO: Abas BDI, PO, PLQ e CFF. Preenchimento e Impressão Obrigatórias. O preenchimento da Aba BDI é dispensada para os casos de Aquisição Direta de Materiais e Equipamentos. A Impressão da Aba PLQ pode ser dispensada para casos de Frente de Obra Única.</t>
  </si>
  <si>
    <t>5.3. na Aba BDI (Bonificações e Despesas Indiretas):</t>
  </si>
  <si>
    <t>5.3.1. Escolha o tipo de empreendimento.</t>
  </si>
  <si>
    <t>5.3.2. Escolha se o BDI será do tipo desonerado ou não (aba DADOS)</t>
  </si>
  <si>
    <t>5.3.3. Informe a base de cálculo do ISS (0 a 100%).</t>
  </si>
  <si>
    <t>5.3.4. Informe a alíquota do ISS (Normalmente de 2 a 5%).</t>
  </si>
  <si>
    <t>5.3.5. Defina na tabela os percentuais a serem adotados para cada item que compõe o BDI nos campos em amarelo.</t>
  </si>
  <si>
    <t>5.3.6. Preencha o campo observações se necessário (recomendado para os orçamentos que utilizam mais de um BDI).</t>
  </si>
  <si>
    <t>5.4. na Aba PO (Planilha Orçamentária):</t>
  </si>
  <si>
    <t>5.4.1. Primeiramente, selecione os níveis de cada item do orçamento na coluna NÍVEL.</t>
  </si>
  <si>
    <t>5.4.1.1: O nível de "Serviço" serve tanto para serviços ou insumos (mão-de-obra / material / equipamento / veículo / máquina / ferramenta / etc). Um "nível 2/3/4" é um título (é preenchida apenas a coluna descrição) utilizado para organizar melhor a planilha orçamentária e engloba (agrupa) serviços e agrupadores de nível inferior.</t>
  </si>
  <si>
    <t>5.4.2. Após a seleção dos níveis, preencha, para cada serviço, as informações sobre a Fonte de Referência, (SINAPI, SICRO, SIURB, etc) e o respectivo Código de Referência.</t>
  </si>
  <si>
    <t>5.4.3. Esta planilha é compatível com o arquivo REFERÊNCIA distribuído pela CAIXA. Caso o arquivo REFERÊNCIA esteja aberto, será possível buscar um código através do botão "Buscar Código". Desta forma a descrição dos serviços será preenchida automaticamente (podendo ser substituída). Caso contrário, seu preenchimento deve ser manual.</t>
  </si>
  <si>
    <t>5.4.3.1. As descrições e unidades preenchidas automaticamente ficarão vinculadas ao arquivo REFERÊNCIA até que se use o botão "Fixar Descrições", que quebra a fórmula e transforma as descrições em texto.</t>
  </si>
  <si>
    <t>5.4.4. Preencher o custo unitário do serviço/insumo na Coluna CUSTO UNITÁRIO. ATENÇÃO: o custo unitário adotado deve ser menor ou igual ao contido na tabela de referência ou mediana das cotações de mercado.</t>
  </si>
  <si>
    <t>5.4.5. Indicar o BDI adotado para cada serviço/insumo na Coluna BDI. Preferencialmente selecione uma das opções da lista suspensa que aparecerá na célula, esta lista contém os 05 BDIs que podem ser preenchidos na Aba BDI (conforme item 5.2 das instruções). Caso seja necessária a adoção de mais de 05 valores diferentes de BDI, digite o percentual diretamente na célula.</t>
  </si>
  <si>
    <t>5.4.6. Conforme selecionado no item 4.1. desta Aba, a Coluna Quantidade pode ser preenchida diretamente na PO, ou representar a soma das quantidades de cada Frente de Obra, informadas na aba PLQ (Planilha de Levantamento de Quantitativos).</t>
  </si>
  <si>
    <t>5.4.7. OBSERVAÇÃO: As demais colunas (Item / Quantidade / Preço Unitário / Preço Total) são de preenchimento automático. Não tente preenche-las ou alterá-las na Aba PO.</t>
  </si>
  <si>
    <t>5.4.8. Se for necessário acrescentar ou excluir linhas da Planilha Orçamentária, utilize o Botão EDITAR PLANILHA e selecione as opções no quadro.
ATENÇÃO: quanto maior o número de linhas mais lento será o processamento dos dados, então acrescente apenas o número necessário ou um pouco a mais.</t>
  </si>
  <si>
    <t>5.4.8.1. Evite deixar linhas em branco no corpo da Planilha Orçamentária.</t>
  </si>
  <si>
    <t>5.4.9. Caso deseje importar os dados de outro arquivo utilize apenas a opção COLAR ESPECIAL ==&gt; VALORES.</t>
  </si>
  <si>
    <t>5.4.10. Clique no Botão LICITAR / REPROGRAMAR para preencher o Orçamento Licitado ou Reprogramado.</t>
  </si>
  <si>
    <t>5.5. na Aba PLQ (Planilha de Levantamento de Quantitativos):</t>
  </si>
  <si>
    <t>5.5.1. Preencha primeiramente as Frentes de Obra.</t>
  </si>
  <si>
    <t xml:space="preserve">5.5.1.1. Exemplos de Frentes de Obra (Rua A trecho 01 / Rua A trecho 02 / Rua B ; UH 01 / UH 02 / UH 03). </t>
  </si>
  <si>
    <t>5.5.2. Preencha as quantidades dos serviços por frente de obra. A soma das quantidades de todas as frentes de um determinado serviço será a quantidade exibida na Planilha Orçamentária.</t>
  </si>
  <si>
    <t>5.5.3. Caso deseje incluir ou excluir frentes, utilize os botões ADICIONAR e EXCLUIR.</t>
  </si>
  <si>
    <t>5.6. na Aba CFF (Cronograma Físico-Financeiro):</t>
  </si>
  <si>
    <t>5.6.1. Preencha a data de início da obra na aba Dados.</t>
  </si>
  <si>
    <t>5.6.2. Preencha as porcentagens previstas por parcela para cada meta ou macrosserviço.</t>
  </si>
  <si>
    <t>5.6.3. Para atualizar o Cronograma conforme o Orçamento e incluir ou excluir parcelas, utilize o botão EDITAR / ATUALIZAR CRONOGRAMA.</t>
  </si>
  <si>
    <t>v008</t>
  </si>
  <si>
    <t>Sinapi</t>
  </si>
  <si>
    <t>Fontoura Xavier /RS</t>
  </si>
  <si>
    <t>Município de Fontoura Xavier</t>
  </si>
  <si>
    <t>sinapi</t>
  </si>
  <si>
    <t>01</t>
  </si>
  <si>
    <t>100575</t>
  </si>
  <si>
    <t>02</t>
  </si>
  <si>
    <t>Prefeito Municipal</t>
  </si>
  <si>
    <t xml:space="preserve">Contrato de Repasse </t>
  </si>
  <si>
    <t>Augusto Ross</t>
  </si>
  <si>
    <t>Engenheiro Civil</t>
  </si>
  <si>
    <t>236486</t>
  </si>
  <si>
    <t>COMPOSIÇÃO</t>
  </si>
  <si>
    <t>m²</t>
  </si>
  <si>
    <t>Não</t>
  </si>
  <si>
    <t>101616</t>
  </si>
  <si>
    <t>Luiz Armando Taffarel</t>
  </si>
  <si>
    <t xml:space="preserve">Ministério do Turismo </t>
  </si>
  <si>
    <t>920647/2021</t>
  </si>
  <si>
    <t>Apoio a Projetos de Infraestrutura Turística</t>
  </si>
  <si>
    <t xml:space="preserve">Construçaõ dos Centros de Comercialização de Produtos Associados ao Turismo </t>
  </si>
  <si>
    <t>CCCPAT</t>
  </si>
  <si>
    <t xml:space="preserve">Áreas do Município </t>
  </si>
  <si>
    <t>Entorno da BR-386</t>
  </si>
  <si>
    <t xml:space="preserve">Centros de Comercialização de Produtos Associados ao Turismo </t>
  </si>
  <si>
    <t xml:space="preserve">Fundação </t>
  </si>
  <si>
    <t>90082</t>
  </si>
  <si>
    <t>96619</t>
  </si>
  <si>
    <t>96546</t>
  </si>
  <si>
    <t>96558</t>
  </si>
  <si>
    <t>93382</t>
  </si>
  <si>
    <t>92762</t>
  </si>
  <si>
    <t>93358</t>
  </si>
  <si>
    <t>95241</t>
  </si>
  <si>
    <t xml:space="preserve">Serviços Preliminares e movimentação de terra </t>
  </si>
  <si>
    <t>87894</t>
  </si>
  <si>
    <t>87792</t>
  </si>
  <si>
    <t>96536</t>
  </si>
  <si>
    <t>96557</t>
  </si>
  <si>
    <t>Superestrutura - Pilares</t>
  </si>
  <si>
    <t>92413</t>
  </si>
  <si>
    <t>92759</t>
  </si>
  <si>
    <t>103672</t>
  </si>
  <si>
    <t>Superestrutura - Alvenaria de Fechamento</t>
  </si>
  <si>
    <t>03</t>
  </si>
  <si>
    <t>98557</t>
  </si>
  <si>
    <t>87775</t>
  </si>
  <si>
    <t>87535</t>
  </si>
  <si>
    <t>92479</t>
  </si>
  <si>
    <t>103674</t>
  </si>
  <si>
    <t>Superestrutura - Lajes</t>
  </si>
  <si>
    <t>101964</t>
  </si>
  <si>
    <t xml:space="preserve">Superestrutura - Vergas e Contravergas </t>
  </si>
  <si>
    <t>93183</t>
  </si>
  <si>
    <t>93185</t>
  </si>
  <si>
    <t>93195</t>
  </si>
  <si>
    <t>96622</t>
  </si>
  <si>
    <t>4786</t>
  </si>
  <si>
    <t>Sinapi-i</t>
  </si>
  <si>
    <t>21141</t>
  </si>
  <si>
    <t>Cobertura - Estrutura e Telhado</t>
  </si>
  <si>
    <t>20211</t>
  </si>
  <si>
    <t>3286</t>
  </si>
  <si>
    <t>7175</t>
  </si>
  <si>
    <t>4412</t>
  </si>
  <si>
    <t>3777</t>
  </si>
  <si>
    <t>04</t>
  </si>
  <si>
    <t xml:space="preserve">Acabamento e Revestimento </t>
  </si>
  <si>
    <t>87273</t>
  </si>
  <si>
    <t>87275</t>
  </si>
  <si>
    <t>87529</t>
  </si>
  <si>
    <t>4828</t>
  </si>
  <si>
    <t>88485</t>
  </si>
  <si>
    <t>88484</t>
  </si>
  <si>
    <t>88489</t>
  </si>
  <si>
    <t>88488</t>
  </si>
  <si>
    <t>102193</t>
  </si>
  <si>
    <t>102214</t>
  </si>
  <si>
    <t xml:space="preserve">Estrutura Externa de Madeira </t>
  </si>
  <si>
    <t>35276</t>
  </si>
  <si>
    <t>Cotação</t>
  </si>
  <si>
    <t>92546</t>
  </si>
  <si>
    <t>20213</t>
  </si>
  <si>
    <t xml:space="preserve">Pintura Estrutura e Cobertura </t>
  </si>
  <si>
    <t>Esquadrias</t>
  </si>
  <si>
    <t>90843</t>
  </si>
  <si>
    <t>91341</t>
  </si>
  <si>
    <t>05</t>
  </si>
  <si>
    <t>I8624</t>
  </si>
  <si>
    <t>Seinfra</t>
  </si>
  <si>
    <t>M2</t>
  </si>
  <si>
    <t>100702</t>
  </si>
  <si>
    <t>94569</t>
  </si>
  <si>
    <t>100874</t>
  </si>
  <si>
    <t xml:space="preserve">Rampa, Escada e Calçada Externa </t>
  </si>
  <si>
    <t>Viga Baldrame 20x30cm</t>
  </si>
  <si>
    <t>Alicerce 20x60cm</t>
  </si>
  <si>
    <t>94304</t>
  </si>
  <si>
    <t>88472</t>
  </si>
  <si>
    <t>1109</t>
  </si>
  <si>
    <t>99839</t>
  </si>
  <si>
    <t xml:space="preserve">Instalação Hidráulica </t>
  </si>
  <si>
    <t xml:space="preserve">Louças e Acessórios </t>
  </si>
  <si>
    <t>95472</t>
  </si>
  <si>
    <t>86943</t>
  </si>
  <si>
    <t>100860</t>
  </si>
  <si>
    <t>86906</t>
  </si>
  <si>
    <t>86931</t>
  </si>
  <si>
    <t>10228</t>
  </si>
  <si>
    <t>37400</t>
  </si>
  <si>
    <t>100872</t>
  </si>
  <si>
    <t>100871</t>
  </si>
  <si>
    <t>100870</t>
  </si>
  <si>
    <t>102622</t>
  </si>
  <si>
    <t>91785</t>
  </si>
  <si>
    <t>89353</t>
  </si>
  <si>
    <t>89985</t>
  </si>
  <si>
    <t xml:space="preserve">Instalação Sanitária </t>
  </si>
  <si>
    <t>39361</t>
  </si>
  <si>
    <t>39365</t>
  </si>
  <si>
    <t>98062</t>
  </si>
  <si>
    <t>91792</t>
  </si>
  <si>
    <t>91793</t>
  </si>
  <si>
    <t>91795</t>
  </si>
  <si>
    <t>104327</t>
  </si>
  <si>
    <t xml:space="preserve">Instalação Elétrica </t>
  </si>
  <si>
    <t>91854</t>
  </si>
  <si>
    <t>91937</t>
  </si>
  <si>
    <t>101876</t>
  </si>
  <si>
    <t>91924</t>
  </si>
  <si>
    <t>91926</t>
  </si>
  <si>
    <t>91930</t>
  </si>
  <si>
    <t>38773</t>
  </si>
  <si>
    <t>97610</t>
  </si>
  <si>
    <t>94210</t>
  </si>
  <si>
    <t>92543</t>
  </si>
  <si>
    <t>92761</t>
  </si>
  <si>
    <t>99059</t>
  </si>
  <si>
    <t>101228</t>
  </si>
  <si>
    <t>11027</t>
  </si>
  <si>
    <t>97605</t>
  </si>
  <si>
    <t>41628</t>
  </si>
  <si>
    <t>11881</t>
  </si>
  <si>
    <t>11739</t>
  </si>
  <si>
    <t>86916</t>
  </si>
  <si>
    <t>91845</t>
  </si>
  <si>
    <t>91928</t>
  </si>
  <si>
    <t>91934</t>
  </si>
  <si>
    <t>91959</t>
  </si>
  <si>
    <t>91957</t>
  </si>
  <si>
    <t>91955</t>
  </si>
  <si>
    <t>92000</t>
  </si>
  <si>
    <t>92004</t>
  </si>
  <si>
    <t>92031</t>
  </si>
  <si>
    <t>91996</t>
  </si>
  <si>
    <t xml:space="preserve">CHAPA METÁLICA (ALUMÍNIO) 1,00 X 0,40M, ESP. 1MM PARA PORTAS DE CORRER </t>
  </si>
  <si>
    <t xml:space="preserve">Superestrutura - Vigas Superiores e de Amarração </t>
  </si>
  <si>
    <t>Superestrutura - Pisos</t>
  </si>
  <si>
    <t>CCPAT-1</t>
  </si>
  <si>
    <t>CCPAT-2</t>
  </si>
  <si>
    <t>CCPAT-3</t>
  </si>
  <si>
    <t>CCPAT-4</t>
  </si>
  <si>
    <t>CCPAT-5</t>
  </si>
  <si>
    <t>CCPAT-6</t>
  </si>
  <si>
    <t>CCPAT-7</t>
  </si>
  <si>
    <t>CCPAT-8</t>
  </si>
  <si>
    <t>CCPAT-9</t>
  </si>
  <si>
    <t>CCPAT-10</t>
  </si>
  <si>
    <t>CCPAT-11</t>
  </si>
  <si>
    <t>CCPAT-12</t>
  </si>
  <si>
    <t>CCPAT-13</t>
  </si>
  <si>
    <t>87905</t>
  </si>
  <si>
    <t>87882</t>
  </si>
  <si>
    <t>377</t>
  </si>
  <si>
    <t>91940</t>
  </si>
  <si>
    <t xml:space="preserve">Composição </t>
  </si>
  <si>
    <t>COTAÇÃO</t>
  </si>
  <si>
    <t>91863</t>
  </si>
  <si>
    <t>Sicro</t>
  </si>
  <si>
    <t>4915734</t>
  </si>
  <si>
    <t>Recomposição mecanizada de aterro com material de jazida</t>
  </si>
  <si>
    <t>M³</t>
  </si>
  <si>
    <t>SIM</t>
  </si>
  <si>
    <t xml:space="preserve">Prefeito Municipal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</si>
</sst>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_(&quot;R$&quot;* #,##0.00_);_(&quot;R$&quot;* \(#,##0.00\);_(&quot;R$&quot;* &quot;-&quot;??_);_(@_)"/>
    <numFmt numFmtId="166" formatCode="dd/mm/yy;@"/>
    <numFmt numFmtId="167" formatCode="[$-416]mmm\-yy;@"/>
    <numFmt numFmtId="168" formatCode="[$-F800]dddd\,\ mmmm\ dd\,\ yyyy"/>
    <numFmt numFmtId="169" formatCode="_(&quot;R$ &quot;* #,##0.00_);_(&quot;R$ &quot;* \(#,##0.00\);_(&quot;R$ &quot;* &quot;-&quot;??_);_(@_)"/>
    <numFmt numFmtId="170" formatCode="dd\ &quot;de&quot;\ mmmm\ &quot;de&quot;\ yyyy"/>
    <numFmt numFmtId="171" formatCode="General;General;"/>
  </numFmts>
  <fonts count="52">
    <font>
      <sz val="10"/>
      <name val="Arial"/>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Arial"/>
      <family val="2"/>
    </font>
    <font>
      <b/>
      <sz val="12"/>
      <name val="Arial"/>
      <family val="2"/>
    </font>
    <font>
      <b/>
      <sz val="10"/>
      <name val="Arial"/>
      <family val="2"/>
    </font>
    <font>
      <b/>
      <sz val="10"/>
      <color indexed="10"/>
      <name val="Arial"/>
      <family val="2"/>
    </font>
    <font>
      <sz val="14"/>
      <color indexed="9"/>
      <name val="Arial Black"/>
      <family val="2"/>
    </font>
    <font>
      <b/>
      <sz val="11"/>
      <name val="Arial"/>
      <family val="2"/>
    </font>
    <font>
      <b/>
      <sz val="10"/>
      <color indexed="8"/>
      <name val="Arial"/>
      <family val="2"/>
    </font>
    <font>
      <sz val="8"/>
      <color indexed="9"/>
      <name val="Arial"/>
      <family val="2"/>
    </font>
    <font>
      <sz val="10"/>
      <color indexed="9"/>
      <name val="Arial"/>
      <family val="2"/>
    </font>
    <font>
      <sz val="11"/>
      <name val="Arial"/>
      <family val="2"/>
    </font>
    <font>
      <b/>
      <sz val="10"/>
      <color indexed="12"/>
      <name val="Arial"/>
      <family val="2"/>
    </font>
    <font>
      <b/>
      <u val="single"/>
      <sz val="15"/>
      <name val="Arial"/>
      <family val="2"/>
    </font>
    <font>
      <b/>
      <sz val="11"/>
      <color indexed="12"/>
      <name val="Arial"/>
      <family val="2"/>
    </font>
    <font>
      <u val="single"/>
      <sz val="10"/>
      <name val="Arial"/>
      <family val="2"/>
    </font>
    <font>
      <sz val="12"/>
      <name val="Arial"/>
      <family val="2"/>
    </font>
    <font>
      <sz val="14"/>
      <color indexed="9"/>
      <name val="Arial"/>
      <family val="2"/>
    </font>
    <font>
      <b/>
      <sz val="9"/>
      <name val="Arial"/>
      <family val="2"/>
    </font>
    <font>
      <sz val="11"/>
      <color indexed="9"/>
      <name val="Arial"/>
      <family val="2"/>
    </font>
    <font>
      <b/>
      <sz val="10"/>
      <color indexed="23"/>
      <name val="Arial"/>
      <family val="2"/>
    </font>
    <font>
      <i/>
      <sz val="12"/>
      <name val="Calibri"/>
      <family val="2"/>
    </font>
    <font>
      <i/>
      <u val="single"/>
      <sz val="12"/>
      <name val="Calibri"/>
      <family val="2"/>
    </font>
    <font>
      <b/>
      <sz val="18"/>
      <name val="Arial"/>
      <family val="2"/>
    </font>
    <font>
      <sz val="10.5"/>
      <name val="Arial"/>
      <family val="2"/>
    </font>
    <font>
      <b/>
      <sz val="12"/>
      <color indexed="10"/>
      <name val="Arial"/>
      <family val="2"/>
    </font>
    <font>
      <b/>
      <sz val="20"/>
      <color indexed="10"/>
      <name val="Arial"/>
      <family val="2"/>
    </font>
    <font>
      <sz val="10"/>
      <color indexed="13"/>
      <name val="Arial"/>
      <family val="2"/>
    </font>
    <font>
      <b/>
      <sz val="10"/>
      <color indexed="13"/>
      <name val="Arial"/>
      <family val="2"/>
    </font>
    <font>
      <sz val="8"/>
      <color rgb="FF000000"/>
      <name val="Segoe UI"/>
      <family val="2"/>
    </font>
    <font>
      <sz val="10.5"/>
      <color rgb="FF000000"/>
      <name val="Calibri"/>
      <family val="2"/>
    </font>
    <font>
      <b/>
      <sz val="9"/>
      <color rgb="FF000000"/>
      <name val="Arial"/>
      <family val="2"/>
    </font>
    <font>
      <sz val="10"/>
      <color rgb="FF000000"/>
      <name val="Arial"/>
      <family val="2"/>
    </font>
    <font>
      <b/>
      <sz val="10"/>
      <color rgb="FF000000"/>
      <name val="Arial"/>
      <family val="2"/>
    </font>
    <font>
      <b/>
      <sz val="9"/>
      <color rgb="FFFFFFFF"/>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solid">
        <fgColor indexed="9"/>
        <bgColor indexed="64"/>
      </patternFill>
    </fill>
    <fill>
      <patternFill patternType="solid">
        <fgColor rgb="FFFFFF99"/>
        <bgColor indexed="64"/>
      </patternFill>
    </fill>
    <fill>
      <patternFill patternType="solid">
        <fgColor indexed="8"/>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style="thin"/>
      <bottom style="thin"/>
    </border>
    <border>
      <left style="thin"/>
      <right/>
      <top/>
      <bottom/>
    </border>
    <border>
      <left/>
      <right style="thin"/>
      <top/>
      <bottom/>
    </border>
    <border>
      <left/>
      <right/>
      <top/>
      <bottom style="thin"/>
    </border>
    <border>
      <left style="thin"/>
      <right style="thin"/>
      <top style="thin"/>
      <bottom style="thin"/>
    </border>
    <border>
      <left style="thin"/>
      <right style="thin"/>
      <top/>
      <bottom/>
    </border>
    <border>
      <left style="thin"/>
      <right style="thin"/>
      <top/>
      <bottom style="thin"/>
    </border>
    <border>
      <left/>
      <right/>
      <top style="thin"/>
      <bottom/>
    </border>
    <border>
      <left style="thin"/>
      <right/>
      <top/>
      <bottom style="thin"/>
    </border>
    <border>
      <left/>
      <right style="thin"/>
      <top style="thin"/>
      <bottom style="thin"/>
    </border>
    <border>
      <left style="hair"/>
      <right style="thin"/>
      <top style="hair"/>
      <bottom style="hair"/>
    </border>
    <border>
      <left style="thin"/>
      <right/>
      <top style="thin"/>
      <bottom/>
    </border>
    <border>
      <left style="thin"/>
      <right style="hair"/>
      <top style="thin"/>
      <bottom style="thin"/>
    </border>
    <border>
      <left style="thin"/>
      <right/>
      <top style="hair"/>
      <bottom style="hair"/>
    </border>
    <border>
      <left style="hair"/>
      <right style="hair"/>
      <top style="hair"/>
      <bottom style="hair"/>
    </border>
    <border>
      <left style="hair"/>
      <right style="hair"/>
      <top style="thin"/>
      <bottom style="thin"/>
    </border>
    <border>
      <left style="hair"/>
      <right style="hair"/>
      <top/>
      <bottom/>
    </border>
    <border>
      <left style="thin"/>
      <right style="thin"/>
      <top style="hair"/>
      <bottom style="hair"/>
    </border>
    <border>
      <left style="thin"/>
      <right style="thin"/>
      <top style="hair"/>
      <bottom/>
    </border>
    <border>
      <left style="hair"/>
      <right style="thin"/>
      <top style="thin"/>
      <bottom style="thin"/>
    </border>
    <border>
      <left style="thin"/>
      <right style="thin"/>
      <top style="thin"/>
      <bottom/>
    </border>
    <border>
      <left style="thin"/>
      <right style="hair"/>
      <top style="hair"/>
      <bottom style="hair"/>
    </border>
    <border>
      <left style="thin"/>
      <right/>
      <top style="thin"/>
      <bottom style="thin"/>
    </border>
    <border>
      <left style="thin"/>
      <right style="thin"/>
      <top/>
      <bottom style="hair"/>
    </border>
    <border>
      <left style="hair"/>
      <right style="hair"/>
      <top style="hair"/>
      <bottom/>
    </border>
    <border>
      <left/>
      <right/>
      <top style="hair"/>
      <bottom/>
    </border>
    <border>
      <left style="thin"/>
      <right/>
      <top style="hair"/>
      <bottom/>
    </border>
    <border>
      <left/>
      <right style="thin"/>
      <top style="hair"/>
      <bottom/>
    </border>
    <border>
      <left/>
      <right style="thin"/>
      <top/>
      <bottom style="thin"/>
    </border>
    <border>
      <left style="medium"/>
      <right/>
      <top/>
      <bottom/>
    </border>
    <border>
      <left/>
      <right style="thin"/>
      <top style="thin"/>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9" fillId="3" borderId="0" applyNumberFormat="0" applyBorder="0" applyAlignment="0" applyProtection="0"/>
    <xf numFmtId="0" fontId="4" fillId="4" borderId="0" applyNumberFormat="0" applyBorder="0" applyAlignment="0" applyProtection="0"/>
    <xf numFmtId="0" fontId="5" fillId="20" borderId="1" applyNumberFormat="0" applyAlignment="0" applyProtection="0"/>
    <xf numFmtId="0" fontId="5" fillId="20" borderId="1" applyNumberFormat="0" applyAlignment="0" applyProtection="0"/>
    <xf numFmtId="0" fontId="6" fillId="21" borderId="2" applyNumberFormat="0" applyAlignment="0" applyProtection="0"/>
    <xf numFmtId="0" fontId="7" fillId="0" borderId="3" applyNumberFormat="0" applyFill="0" applyAlignment="0" applyProtection="0"/>
    <xf numFmtId="0" fontId="6" fillId="21" borderId="2" applyNumberFormat="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8" fillId="7" borderId="1" applyNumberFormat="0" applyAlignment="0" applyProtection="0"/>
    <xf numFmtId="0" fontId="2" fillId="0" borderId="0">
      <alignment/>
      <protection/>
    </xf>
    <xf numFmtId="0" fontId="13" fillId="0" borderId="0" applyNumberFormat="0" applyFill="0" applyBorder="0" applyAlignment="0" applyProtection="0"/>
    <xf numFmtId="0" fontId="4" fillId="4"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9" fillId="3" borderId="0" applyNumberFormat="0" applyBorder="0" applyAlignment="0" applyProtection="0"/>
    <xf numFmtId="0" fontId="8" fillId="7" borderId="1" applyNumberFormat="0" applyAlignment="0" applyProtection="0"/>
    <xf numFmtId="0" fontId="7" fillId="0" borderId="3" applyNumberFormat="0" applyFill="0" applyAlignment="0" applyProtection="0"/>
    <xf numFmtId="165" fontId="0" fillId="0" borderId="0" applyFont="0" applyFill="0" applyBorder="0" applyAlignment="0" applyProtection="0"/>
    <xf numFmtId="169" fontId="0" fillId="0" borderId="0" applyFont="0" applyFill="0" applyBorder="0" applyAlignment="0" applyProtection="0"/>
    <xf numFmtId="0" fontId="10" fillId="22" borderId="0" applyNumberFormat="0" applyBorder="0" applyAlignment="0" applyProtection="0"/>
    <xf numFmtId="0" fontId="10" fillId="22" borderId="0" applyNumberFormat="0" applyBorder="0" applyAlignment="0" applyProtection="0"/>
    <xf numFmtId="0" fontId="0" fillId="0" borderId="0">
      <alignment/>
      <protection/>
    </xf>
    <xf numFmtId="0" fontId="1" fillId="0" borderId="0">
      <alignment/>
      <protection/>
    </xf>
    <xf numFmtId="0" fontId="0" fillId="23" borderId="7" applyNumberFormat="0" applyFont="0" applyAlignment="0" applyProtection="0"/>
    <xf numFmtId="0" fontId="0" fillId="23" borderId="7" applyNumberFormat="0" applyFont="0" applyAlignment="0" applyProtection="0"/>
    <xf numFmtId="0" fontId="11" fillId="20" borderId="8" applyNumberFormat="0" applyAlignment="0" applyProtection="0"/>
    <xf numFmtId="9" fontId="0" fillId="0" borderId="0" applyFont="0" applyFill="0" applyBorder="0" applyAlignment="0" applyProtection="0"/>
    <xf numFmtId="0" fontId="11" fillId="20" borderId="8"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164" fontId="0" fillId="0" borderId="0" applyFont="0" applyFill="0" applyBorder="0" applyAlignment="0" applyProtection="0"/>
    <xf numFmtId="0" fontId="12" fillId="0" borderId="0" applyNumberFormat="0" applyFill="0" applyBorder="0" applyAlignment="0" applyProtection="0"/>
    <xf numFmtId="0" fontId="0" fillId="0" borderId="0">
      <alignment/>
      <protection/>
    </xf>
  </cellStyleXfs>
  <cellXfs count="395">
    <xf numFmtId="0" fontId="0" fillId="0" borderId="0" xfId="0"/>
    <xf numFmtId="0" fontId="0" fillId="0" borderId="0" xfId="0" applyProtection="1">
      <protection/>
    </xf>
    <xf numFmtId="0" fontId="0" fillId="0" borderId="0" xfId="0" applyFill="1" applyBorder="1" applyProtection="1">
      <protection/>
    </xf>
    <xf numFmtId="0" fontId="0" fillId="0" borderId="0" xfId="0" applyBorder="1" applyProtection="1">
      <protection/>
    </xf>
    <xf numFmtId="0" fontId="0" fillId="0" borderId="0" xfId="0" applyFont="1"/>
    <xf numFmtId="0" fontId="19" fillId="0" borderId="0" xfId="0" applyFont="1"/>
    <xf numFmtId="0" fontId="21" fillId="0" borderId="0" xfId="0" applyFont="1" applyAlignment="1">
      <alignment horizontal="center"/>
    </xf>
    <xf numFmtId="0" fontId="0" fillId="0" borderId="0" xfId="0" applyFont="1" applyAlignment="1" applyProtection="1">
      <alignment horizontal="center"/>
      <protection/>
    </xf>
    <xf numFmtId="0" fontId="0" fillId="0" borderId="0" xfId="0" applyAlignment="1" applyProtection="1">
      <alignment horizontal="left"/>
      <protection/>
    </xf>
    <xf numFmtId="0" fontId="0" fillId="0" borderId="0" xfId="0" applyFont="1" applyAlignment="1">
      <alignment horizontal="center"/>
    </xf>
    <xf numFmtId="49" fontId="21" fillId="24" borderId="10" xfId="0" applyNumberFormat="1" applyFont="1" applyFill="1" applyBorder="1" applyAlignment="1" applyProtection="1">
      <alignment horizontal="center" vertical="center"/>
      <protection/>
    </xf>
    <xf numFmtId="164" fontId="21" fillId="24" borderId="10" xfId="106" applyNumberFormat="1" applyFont="1" applyFill="1" applyBorder="1" applyAlignment="1" applyProtection="1">
      <alignment horizontal="center" vertical="center"/>
      <protection/>
    </xf>
    <xf numFmtId="10" fontId="21" fillId="24" borderId="10" xfId="95" applyNumberFormat="1" applyFont="1" applyFill="1" applyBorder="1" applyAlignment="1" applyProtection="1">
      <alignment horizontal="center" vertical="center"/>
      <protection/>
    </xf>
    <xf numFmtId="0" fontId="22" fillId="0" borderId="0" xfId="0" applyFont="1"/>
    <xf numFmtId="0" fontId="0" fillId="0" borderId="0" xfId="0" applyFont="1" applyAlignment="1">
      <alignment horizontal="left"/>
    </xf>
    <xf numFmtId="0" fontId="0" fillId="0" borderId="0" xfId="0" applyFont="1" applyAlignment="1">
      <alignment horizontal="center" vertical="center"/>
    </xf>
    <xf numFmtId="164" fontId="0" fillId="0" borderId="0" xfId="106" applyFont="1"/>
    <xf numFmtId="0" fontId="25" fillId="0" borderId="0" xfId="0" applyFont="1" applyAlignment="1">
      <alignment vertical="center"/>
    </xf>
    <xf numFmtId="0" fontId="0" fillId="0" borderId="0" xfId="0" applyFont="1" applyBorder="1" applyAlignment="1" applyProtection="1">
      <alignment horizontal="right"/>
      <protection/>
    </xf>
    <xf numFmtId="0" fontId="21" fillId="0" borderId="0" xfId="0" applyFont="1" applyBorder="1" applyAlignment="1" applyProtection="1">
      <alignment horizontal="right"/>
      <protection/>
    </xf>
    <xf numFmtId="0" fontId="0" fillId="0" borderId="0" xfId="0" applyFont="1" applyBorder="1"/>
    <xf numFmtId="0" fontId="0" fillId="0" borderId="0" xfId="0" applyFill="1" applyProtection="1">
      <protection/>
    </xf>
    <xf numFmtId="0" fontId="0" fillId="0" borderId="0" xfId="0" applyFill="1" applyAlignment="1" applyProtection="1">
      <alignment horizontal="left"/>
      <protection/>
    </xf>
    <xf numFmtId="0" fontId="0" fillId="0" borderId="0" xfId="0" applyFont="1" applyFill="1" applyAlignment="1" applyProtection="1">
      <alignment horizontal="center"/>
      <protection/>
    </xf>
    <xf numFmtId="0" fontId="0" fillId="0" borderId="0" xfId="0" applyFont="1" applyFill="1" applyBorder="1" applyAlignment="1" applyProtection="1">
      <alignment wrapText="1"/>
      <protection/>
    </xf>
    <xf numFmtId="0" fontId="0" fillId="0" borderId="0" xfId="0" applyFill="1" applyAlignment="1" applyProtection="1">
      <alignment horizontal="left" wrapText="1"/>
      <protection/>
    </xf>
    <xf numFmtId="0" fontId="0" fillId="0" borderId="0" xfId="0" applyFont="1" applyFill="1" applyBorder="1" applyAlignment="1" applyProtection="1">
      <alignment horizontal="left" wrapText="1" indent="2"/>
      <protection/>
    </xf>
    <xf numFmtId="0" fontId="0" fillId="0" borderId="0" xfId="0" applyFill="1" applyAlignment="1" applyProtection="1">
      <alignment horizontal="center"/>
      <protection/>
    </xf>
    <xf numFmtId="0" fontId="21" fillId="0" borderId="11" xfId="91" applyFont="1" applyBorder="1" applyAlignment="1" applyProtection="1">
      <alignment horizontal="left" vertical="top"/>
      <protection/>
    </xf>
    <xf numFmtId="0" fontId="21" fillId="0" borderId="0" xfId="91" applyFont="1" applyBorder="1" applyAlignment="1" applyProtection="1">
      <alignment horizontal="left" vertical="top"/>
      <protection/>
    </xf>
    <xf numFmtId="0" fontId="21" fillId="0" borderId="12" xfId="91" applyFont="1" applyBorder="1" applyAlignment="1" applyProtection="1">
      <alignment horizontal="left" vertical="top"/>
      <protection/>
    </xf>
    <xf numFmtId="10" fontId="0" fillId="0" borderId="0" xfId="95" applyNumberFormat="1" applyFont="1" applyBorder="1" applyAlignment="1" applyProtection="1">
      <alignment horizontal="left"/>
      <protection/>
    </xf>
    <xf numFmtId="0" fontId="0" fillId="0" borderId="0" xfId="0" applyAlignment="1" applyProtection="1">
      <alignment horizontal="left" indent="2"/>
      <protection/>
    </xf>
    <xf numFmtId="14" fontId="26" fillId="0" borderId="0" xfId="0" applyNumberFormat="1" applyFont="1" applyFill="1" applyBorder="1" applyAlignment="1" applyProtection="1">
      <alignment vertical="top" wrapText="1"/>
      <protection/>
    </xf>
    <xf numFmtId="0" fontId="27" fillId="0" borderId="0" xfId="0" applyFont="1" applyFill="1" applyAlignment="1" applyProtection="1">
      <alignment horizontal="center"/>
      <protection/>
    </xf>
    <xf numFmtId="0" fontId="27" fillId="0" borderId="0" xfId="0" applyFont="1" applyFill="1" applyProtection="1">
      <protection/>
    </xf>
    <xf numFmtId="0" fontId="20" fillId="0" borderId="0" xfId="0" applyFont="1" applyAlignment="1">
      <alignment horizontal="left"/>
    </xf>
    <xf numFmtId="166" fontId="0" fillId="0" borderId="0" xfId="106" applyNumberFormat="1" applyFont="1" applyFill="1" applyBorder="1" applyProtection="1">
      <protection/>
    </xf>
    <xf numFmtId="0" fontId="0" fillId="0" borderId="0" xfId="0" applyFont="1" applyAlignment="1" applyProtection="1">
      <alignment horizontal="left"/>
      <protection/>
    </xf>
    <xf numFmtId="0" fontId="0" fillId="0" borderId="13" xfId="0" applyFill="1" applyBorder="1" applyAlignment="1" applyProtection="1">
      <alignment horizontal="left"/>
      <protection/>
    </xf>
    <xf numFmtId="0" fontId="0" fillId="0" borderId="13" xfId="0" applyFill="1" applyBorder="1" applyProtection="1">
      <protection/>
    </xf>
    <xf numFmtId="0" fontId="0" fillId="0" borderId="0" xfId="0" applyProtection="1">
      <protection hidden="1"/>
    </xf>
    <xf numFmtId="0" fontId="0" fillId="0" borderId="0" xfId="0" applyFont="1" applyProtection="1">
      <protection hidden="1"/>
    </xf>
    <xf numFmtId="0" fontId="21" fillId="0" borderId="0" xfId="0" applyFont="1" applyFill="1" applyBorder="1" applyAlignment="1" applyProtection="1">
      <alignment wrapText="1"/>
      <protection hidden="1"/>
    </xf>
    <xf numFmtId="0" fontId="21" fillId="0" borderId="0" xfId="0" applyFont="1" applyFill="1" applyBorder="1" applyAlignment="1" applyProtection="1">
      <alignment horizontal="center" vertical="center"/>
      <protection hidden="1"/>
    </xf>
    <xf numFmtId="0" fontId="0" fillId="0" borderId="0" xfId="0" applyFont="1" applyFill="1" applyBorder="1" applyProtection="1">
      <protection hidden="1"/>
    </xf>
    <xf numFmtId="0" fontId="1" fillId="0" borderId="0" xfId="0" applyFont="1" applyProtection="1">
      <protection hidden="1"/>
    </xf>
    <xf numFmtId="0" fontId="0" fillId="0" borderId="0" xfId="0" applyFont="1" applyAlignment="1" applyProtection="1">
      <alignment horizontal="center"/>
      <protection hidden="1"/>
    </xf>
    <xf numFmtId="0" fontId="0"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0" fontId="21" fillId="0" borderId="0" xfId="0" applyFont="1" applyFill="1" applyBorder="1" applyAlignment="1" applyProtection="1">
      <alignment horizontal="left" wrapText="1" indent="1"/>
      <protection/>
    </xf>
    <xf numFmtId="0" fontId="21" fillId="0" borderId="0" xfId="0" applyFont="1" applyAlignment="1" applyProtection="1">
      <alignment horizontal="left" indent="1"/>
      <protection/>
    </xf>
    <xf numFmtId="0" fontId="0" fillId="0" borderId="0" xfId="90" applyFont="1" applyProtection="1">
      <alignment/>
      <protection/>
    </xf>
    <xf numFmtId="0" fontId="21" fillId="0" borderId="0" xfId="90" applyFont="1" applyAlignment="1" applyProtection="1">
      <alignment horizontal="center"/>
      <protection/>
    </xf>
    <xf numFmtId="0" fontId="21" fillId="0" borderId="14" xfId="90" applyFont="1" applyBorder="1" applyAlignment="1" applyProtection="1">
      <alignment horizontal="center"/>
      <protection/>
    </xf>
    <xf numFmtId="10" fontId="29" fillId="0" borderId="14" xfId="90" applyNumberFormat="1" applyFont="1" applyFill="1" applyBorder="1" applyAlignment="1" applyProtection="1">
      <alignment horizontal="center"/>
      <protection/>
    </xf>
    <xf numFmtId="0" fontId="20" fillId="0" borderId="0" xfId="90" applyFont="1" applyAlignment="1" applyProtection="1">
      <alignment horizontal="center"/>
      <protection/>
    </xf>
    <xf numFmtId="0" fontId="30" fillId="0" borderId="0" xfId="90" applyFont="1" applyAlignment="1" applyProtection="1">
      <alignment/>
      <protection/>
    </xf>
    <xf numFmtId="0" fontId="21" fillId="0" borderId="0" xfId="90" applyFont="1" applyProtection="1">
      <alignment/>
      <protection/>
    </xf>
    <xf numFmtId="0" fontId="21" fillId="0" borderId="14" xfId="90" applyFont="1" applyFill="1" applyBorder="1" applyAlignment="1" applyProtection="1">
      <alignment horizontal="center" vertical="center" wrapText="1"/>
      <protection/>
    </xf>
    <xf numFmtId="0" fontId="28" fillId="0" borderId="14" xfId="90" applyFont="1" applyBorder="1" applyAlignment="1" applyProtection="1">
      <alignment horizontal="center" vertical="center"/>
      <protection/>
    </xf>
    <xf numFmtId="10" fontId="28" fillId="22" borderId="14" xfId="90" applyNumberFormat="1" applyFont="1" applyFill="1" applyBorder="1" applyAlignment="1" applyProtection="1">
      <alignment horizontal="center" vertical="center"/>
      <protection locked="0"/>
    </xf>
    <xf numFmtId="4" fontId="24" fillId="0" borderId="14" xfId="90" applyNumberFormat="1" applyFont="1" applyFill="1" applyBorder="1" applyAlignment="1" applyProtection="1">
      <alignment horizontal="center" vertical="center"/>
      <protection/>
    </xf>
    <xf numFmtId="10" fontId="28" fillId="0" borderId="14" xfId="90" applyNumberFormat="1" applyFont="1" applyFill="1" applyBorder="1" applyAlignment="1" applyProtection="1">
      <alignment horizontal="center" vertical="center"/>
      <protection/>
    </xf>
    <xf numFmtId="10" fontId="28" fillId="0" borderId="14" xfId="90" applyNumberFormat="1" applyFont="1" applyFill="1" applyBorder="1" applyAlignment="1" applyProtection="1">
      <alignment horizontal="center" vertical="center" wrapText="1"/>
      <protection/>
    </xf>
    <xf numFmtId="0" fontId="28" fillId="0" borderId="14" xfId="90" applyFont="1" applyFill="1" applyBorder="1" applyAlignment="1" applyProtection="1">
      <alignment horizontal="center" vertical="center" wrapText="1"/>
      <protection/>
    </xf>
    <xf numFmtId="0" fontId="36" fillId="0" borderId="0" xfId="90" applyFont="1" applyFill="1" applyBorder="1" applyAlignment="1" applyProtection="1">
      <alignment horizontal="center" vertical="center" wrapText="1"/>
      <protection/>
    </xf>
    <xf numFmtId="10" fontId="36" fillId="0" borderId="0" xfId="90" applyNumberFormat="1" applyFont="1" applyFill="1" applyBorder="1" applyAlignment="1" applyProtection="1">
      <alignment horizontal="center" vertical="center"/>
      <protection/>
    </xf>
    <xf numFmtId="170" fontId="0" fillId="0" borderId="0" xfId="90" applyNumberFormat="1" applyFont="1" applyAlignment="1" applyProtection="1">
      <alignment/>
      <protection/>
    </xf>
    <xf numFmtId="0" fontId="28" fillId="0" borderId="0" xfId="90" applyFont="1" applyBorder="1" applyProtection="1">
      <alignment/>
      <protection/>
    </xf>
    <xf numFmtId="0" fontId="0" fillId="0" borderId="0" xfId="90" applyFont="1" applyBorder="1" applyProtection="1">
      <alignment/>
      <protection/>
    </xf>
    <xf numFmtId="0" fontId="28" fillId="0" borderId="0" xfId="90" applyFont="1" applyProtection="1">
      <alignment/>
      <protection/>
    </xf>
    <xf numFmtId="0" fontId="28" fillId="0" borderId="0" xfId="90" applyFont="1" applyAlignment="1" applyProtection="1">
      <alignment vertical="top"/>
      <protection/>
    </xf>
    <xf numFmtId="0" fontId="32" fillId="0" borderId="0" xfId="90" applyFont="1" applyBorder="1" applyAlignment="1" applyProtection="1">
      <alignment horizontal="center" vertical="top"/>
      <protection/>
    </xf>
    <xf numFmtId="0" fontId="21" fillId="0" borderId="14" xfId="0" applyFont="1" applyBorder="1" applyAlignment="1" applyProtection="1">
      <alignment horizontal="center" vertical="center" wrapText="1"/>
      <protection/>
    </xf>
    <xf numFmtId="0" fontId="21" fillId="0" borderId="14" xfId="0" applyFont="1" applyBorder="1" applyAlignment="1" applyProtection="1">
      <alignment horizontal="center" vertical="center"/>
      <protection/>
    </xf>
    <xf numFmtId="0" fontId="21" fillId="24" borderId="14" xfId="0" applyNumberFormat="1" applyFont="1" applyFill="1" applyBorder="1" applyAlignment="1" applyProtection="1">
      <alignment horizontal="center" vertical="center"/>
      <protection/>
    </xf>
    <xf numFmtId="0" fontId="0" fillId="0" borderId="15" xfId="0" applyFont="1" applyBorder="1" applyAlignment="1" applyProtection="1">
      <alignment horizontal="center"/>
      <protection/>
    </xf>
    <xf numFmtId="0" fontId="21" fillId="0" borderId="16" xfId="0" applyFont="1" applyBorder="1" applyAlignment="1" applyProtection="1">
      <alignment horizontal="center"/>
      <protection/>
    </xf>
    <xf numFmtId="0" fontId="0" fillId="0" borderId="0" xfId="0" applyFont="1" applyFill="1"/>
    <xf numFmtId="0" fontId="34" fillId="0" borderId="0" xfId="0" applyFont="1" applyFill="1" applyAlignment="1">
      <alignment vertical="center"/>
    </xf>
    <xf numFmtId="0" fontId="0" fillId="0" borderId="0" xfId="0" applyFont="1" applyFill="1" applyAlignment="1">
      <alignment horizontal="center" vertical="top"/>
    </xf>
    <xf numFmtId="0" fontId="0" fillId="0" borderId="0" xfId="0" applyFont="1" applyProtection="1">
      <protection/>
    </xf>
    <xf numFmtId="0" fontId="0" fillId="0" borderId="17" xfId="0" applyFont="1" applyBorder="1"/>
    <xf numFmtId="0" fontId="28" fillId="0" borderId="0" xfId="0" applyFont="1"/>
    <xf numFmtId="0" fontId="20" fillId="0" borderId="0" xfId="0" applyFont="1" applyAlignment="1">
      <alignment horizontal="right"/>
    </xf>
    <xf numFmtId="0" fontId="21" fillId="22" borderId="0" xfId="0" applyFont="1" applyFill="1" applyAlignment="1" applyProtection="1">
      <alignment/>
      <protection locked="0"/>
    </xf>
    <xf numFmtId="0" fontId="21" fillId="24" borderId="10" xfId="0" applyNumberFormat="1" applyFont="1" applyFill="1" applyBorder="1" applyAlignment="1" applyProtection="1">
      <alignment horizontal="center" vertical="center" wrapText="1"/>
      <protection/>
    </xf>
    <xf numFmtId="0" fontId="0" fillId="22" borderId="18" xfId="0" applyFont="1" applyFill="1" applyBorder="1" applyAlignment="1" applyProtection="1">
      <alignment horizontal="left" vertical="top" wrapText="1"/>
      <protection locked="0"/>
    </xf>
    <xf numFmtId="0" fontId="0" fillId="0" borderId="12" xfId="0" applyFont="1" applyBorder="1"/>
    <xf numFmtId="0" fontId="28" fillId="0" borderId="11" xfId="0" applyFont="1" applyBorder="1" applyAlignment="1" applyProtection="1">
      <alignment horizontal="left" vertical="center"/>
      <protection/>
    </xf>
    <xf numFmtId="0" fontId="0" fillId="22" borderId="18" xfId="0" applyFont="1" applyFill="1" applyBorder="1" applyAlignment="1" applyProtection="1">
      <alignment vertical="top" wrapText="1"/>
      <protection locked="0"/>
    </xf>
    <xf numFmtId="0" fontId="21" fillId="0" borderId="11" xfId="91" applyFont="1" applyBorder="1" applyAlignment="1" applyProtection="1">
      <alignment vertical="top"/>
      <protection/>
    </xf>
    <xf numFmtId="0" fontId="21" fillId="0" borderId="15" xfId="91" applyFont="1" applyBorder="1" applyAlignment="1" applyProtection="1">
      <alignment horizontal="center" vertical="top"/>
      <protection/>
    </xf>
    <xf numFmtId="0" fontId="0" fillId="0" borderId="0" xfId="0" applyFont="1" applyProtection="1">
      <protection/>
    </xf>
    <xf numFmtId="10" fontId="0" fillId="22" borderId="16" xfId="95" applyNumberFormat="1" applyFont="1" applyFill="1" applyBorder="1" applyAlignment="1" applyProtection="1">
      <alignment horizontal="center" vertical="top" wrapText="1"/>
      <protection/>
    </xf>
    <xf numFmtId="10" fontId="0" fillId="0" borderId="16" xfId="95" applyNumberFormat="1" applyFont="1" applyFill="1" applyBorder="1" applyAlignment="1" applyProtection="1">
      <alignment horizontal="center" vertical="top" wrapText="1"/>
      <protection/>
    </xf>
    <xf numFmtId="164" fontId="21" fillId="24" borderId="19" xfId="106" applyNumberFormat="1" applyFont="1" applyFill="1" applyBorder="1" applyAlignment="1" applyProtection="1">
      <alignment horizontal="center" vertical="center" shrinkToFit="1"/>
      <protection/>
    </xf>
    <xf numFmtId="164" fontId="0" fillId="0" borderId="20" xfId="106" applyNumberFormat="1" applyFont="1" applyFill="1" applyBorder="1" applyAlignment="1">
      <alignment horizontal="center" vertical="center" shrinkToFit="1"/>
    </xf>
    <xf numFmtId="0" fontId="20" fillId="0" borderId="0" xfId="0" applyFont="1" applyAlignment="1">
      <alignment horizontal="left" vertical="center"/>
    </xf>
    <xf numFmtId="0" fontId="0" fillId="0" borderId="0" xfId="90" applyFont="1" applyBorder="1" applyAlignment="1" applyProtection="1">
      <alignment horizontal="center" vertical="top"/>
      <protection/>
    </xf>
    <xf numFmtId="0" fontId="35" fillId="0" borderId="0" xfId="91" applyFont="1" applyBorder="1" applyAlignment="1" applyProtection="1">
      <alignment horizontal="left" vertical="top"/>
      <protection/>
    </xf>
    <xf numFmtId="0" fontId="33" fillId="0" borderId="0" xfId="0" applyFont="1" applyAlignment="1">
      <alignment horizontal="left" vertical="center"/>
    </xf>
    <xf numFmtId="3" fontId="0" fillId="20" borderId="21" xfId="0" applyNumberFormat="1" applyFill="1" applyBorder="1" applyAlignment="1" applyProtection="1">
      <alignment horizontal="left"/>
      <protection/>
    </xf>
    <xf numFmtId="10" fontId="0" fillId="22" borderId="18" xfId="95" applyNumberFormat="1" applyFont="1" applyFill="1" applyBorder="1" applyAlignment="1" applyProtection="1">
      <alignment horizontal="left" vertical="top" wrapText="1"/>
      <protection locked="0"/>
    </xf>
    <xf numFmtId="0" fontId="0" fillId="20" borderId="18" xfId="0" applyFont="1" applyFill="1" applyBorder="1" applyAlignment="1" applyProtection="1">
      <alignment horizontal="left"/>
      <protection/>
    </xf>
    <xf numFmtId="4" fontId="24" fillId="0" borderId="14" xfId="90" applyNumberFormat="1" applyFont="1" applyFill="1" applyBorder="1" applyAlignment="1" applyProtection="1">
      <alignment horizontal="center" vertical="center" wrapText="1"/>
      <protection/>
    </xf>
    <xf numFmtId="0" fontId="42" fillId="0" borderId="0" xfId="90" applyFont="1" applyAlignment="1" applyProtection="1">
      <alignment wrapText="1"/>
      <protection/>
    </xf>
    <xf numFmtId="0" fontId="43" fillId="0" borderId="0" xfId="90" applyFont="1" applyAlignment="1" applyProtection="1">
      <alignment vertical="top" wrapText="1"/>
      <protection/>
    </xf>
    <xf numFmtId="0" fontId="40" fillId="0" borderId="14" xfId="90" applyFont="1" applyBorder="1" applyAlignment="1" applyProtection="1">
      <alignment horizontal="center" vertical="center"/>
      <protection/>
    </xf>
    <xf numFmtId="4" fontId="24" fillId="0" borderId="0" xfId="90" applyNumberFormat="1" applyFont="1" applyFill="1" applyBorder="1" applyAlignment="1" applyProtection="1">
      <alignment horizontal="center" vertical="center" wrapText="1"/>
      <protection/>
    </xf>
    <xf numFmtId="0" fontId="0" fillId="0" borderId="0" xfId="90" applyFont="1" applyProtection="1">
      <alignment/>
      <protection locked="0"/>
    </xf>
    <xf numFmtId="0" fontId="21" fillId="0" borderId="0" xfId="0" applyFont="1"/>
    <xf numFmtId="0" fontId="21" fillId="0" borderId="0" xfId="0" applyFont="1" applyAlignment="1">
      <alignment horizontal="left"/>
    </xf>
    <xf numFmtId="0" fontId="0" fillId="0" borderId="0" xfId="0" applyAlignment="1" applyProtection="1">
      <alignment horizontal="center"/>
      <protection/>
    </xf>
    <xf numFmtId="0" fontId="21" fillId="0" borderId="22" xfId="0" applyFont="1" applyBorder="1" applyAlignment="1" applyProtection="1">
      <alignment horizontal="center" vertical="center" wrapText="1"/>
      <protection/>
    </xf>
    <xf numFmtId="0" fontId="21" fillId="0" borderId="0" xfId="0" applyFont="1" applyFill="1" applyBorder="1" applyAlignment="1" applyProtection="1">
      <alignment horizontal="center" vertical="center" wrapText="1"/>
      <protection/>
    </xf>
    <xf numFmtId="0" fontId="0" fillId="0" borderId="0" xfId="0" applyBorder="1"/>
    <xf numFmtId="0" fontId="0" fillId="0" borderId="0" xfId="0" applyFont="1" applyFill="1" applyBorder="1"/>
    <xf numFmtId="0" fontId="22" fillId="0" borderId="16" xfId="0" applyFont="1" applyBorder="1" applyAlignment="1">
      <alignment horizontal="center"/>
    </xf>
    <xf numFmtId="0" fontId="1" fillId="22" borderId="23" xfId="0" applyNumberFormat="1" applyFont="1" applyFill="1" applyBorder="1" applyAlignment="1" applyProtection="1">
      <alignment vertical="center" wrapText="1"/>
      <protection locked="0"/>
    </xf>
    <xf numFmtId="164" fontId="0" fillId="0" borderId="24" xfId="106" applyNumberFormat="1" applyFont="1" applyFill="1" applyBorder="1" applyAlignment="1">
      <alignment vertical="center" shrinkToFit="1"/>
    </xf>
    <xf numFmtId="0" fontId="0" fillId="22" borderId="25" xfId="0" applyFont="1" applyFill="1" applyBorder="1" applyAlignment="1" applyProtection="1">
      <alignment horizontal="center" textRotation="90" wrapText="1"/>
      <protection locked="0"/>
    </xf>
    <xf numFmtId="0" fontId="21" fillId="0" borderId="15" xfId="0" applyFont="1" applyBorder="1" applyAlignment="1" applyProtection="1">
      <alignment horizontal="center" vertical="center" wrapText="1"/>
      <protection/>
    </xf>
    <xf numFmtId="0" fontId="21" fillId="0" borderId="15" xfId="0" applyFont="1" applyBorder="1" applyAlignment="1" applyProtection="1">
      <alignment horizontal="center" vertical="center"/>
      <protection/>
    </xf>
    <xf numFmtId="0" fontId="25" fillId="0" borderId="26" xfId="0" applyFont="1" applyBorder="1" applyAlignment="1">
      <alignment horizontal="center" vertical="center"/>
    </xf>
    <xf numFmtId="0" fontId="1" fillId="0" borderId="27" xfId="0" applyNumberFormat="1" applyFont="1" applyFill="1" applyBorder="1" applyAlignment="1" applyProtection="1">
      <alignment vertical="center"/>
      <protection/>
    </xf>
    <xf numFmtId="0" fontId="0" fillId="0" borderId="28" xfId="0" applyNumberFormat="1" applyFont="1" applyFill="1" applyBorder="1" applyAlignment="1" applyProtection="1">
      <alignment vertical="center" wrapText="1"/>
      <protection/>
    </xf>
    <xf numFmtId="0" fontId="1" fillId="0" borderId="28" xfId="0" applyNumberFormat="1" applyFont="1" applyFill="1" applyBorder="1" applyAlignment="1" applyProtection="1">
      <alignment vertical="center"/>
      <protection/>
    </xf>
    <xf numFmtId="0" fontId="0" fillId="0" borderId="28"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vertical="center" shrinkToFit="1"/>
      <protection/>
    </xf>
    <xf numFmtId="0" fontId="0" fillId="0" borderId="0" xfId="0" applyFont="1" applyAlignment="1">
      <alignment wrapText="1"/>
    </xf>
    <xf numFmtId="10" fontId="0" fillId="0" borderId="24" xfId="106" applyNumberFormat="1" applyFont="1" applyFill="1" applyBorder="1" applyAlignment="1">
      <alignment vertical="center" shrinkToFit="1"/>
    </xf>
    <xf numFmtId="10" fontId="21" fillId="24" borderId="10" xfId="106" applyNumberFormat="1" applyFont="1" applyFill="1" applyBorder="1" applyAlignment="1" applyProtection="1">
      <alignment horizontal="center" vertical="center"/>
      <protection/>
    </xf>
    <xf numFmtId="0" fontId="21" fillId="0" borderId="11" xfId="91" applyFont="1" applyFill="1" applyBorder="1" applyAlignment="1" applyProtection="1">
      <alignment horizontal="left" vertical="top"/>
      <protection/>
    </xf>
    <xf numFmtId="0" fontId="21" fillId="0" borderId="11" xfId="91" applyFont="1" applyFill="1" applyBorder="1" applyAlignment="1" applyProtection="1">
      <alignment vertical="top"/>
      <protection/>
    </xf>
    <xf numFmtId="0" fontId="21" fillId="0" borderId="15" xfId="91" applyFont="1" applyFill="1" applyBorder="1" applyAlignment="1" applyProtection="1">
      <alignment horizontal="center" vertical="top"/>
      <protection/>
    </xf>
    <xf numFmtId="0" fontId="0" fillId="0" borderId="18" xfId="0" applyFont="1" applyFill="1" applyBorder="1" applyAlignment="1" applyProtection="1">
      <alignment vertical="top" wrapText="1"/>
      <protection/>
    </xf>
    <xf numFmtId="0" fontId="0" fillId="0" borderId="18" xfId="0" applyFont="1" applyFill="1" applyBorder="1" applyAlignment="1" applyProtection="1">
      <alignment horizontal="left" vertical="top" wrapText="1"/>
      <protection/>
    </xf>
    <xf numFmtId="10" fontId="0" fillId="0" borderId="16" xfId="95" applyNumberFormat="1" applyFont="1" applyFill="1" applyBorder="1" applyAlignment="1" applyProtection="1">
      <alignment horizontal="center" vertical="top" wrapText="1"/>
      <protection/>
    </xf>
    <xf numFmtId="10" fontId="0" fillId="0" borderId="18" xfId="95" applyNumberFormat="1" applyFont="1" applyFill="1" applyBorder="1" applyAlignment="1" applyProtection="1">
      <alignment horizontal="left" vertical="top" wrapText="1"/>
      <protection/>
    </xf>
    <xf numFmtId="0" fontId="21" fillId="0" borderId="17" xfId="0" applyFont="1" applyBorder="1"/>
    <xf numFmtId="0" fontId="21" fillId="0" borderId="17" xfId="0" applyFont="1" applyBorder="1" applyAlignment="1">
      <alignment horizontal="left"/>
    </xf>
    <xf numFmtId="0" fontId="0" fillId="0" borderId="17" xfId="0" applyFont="1" applyBorder="1" applyAlignment="1">
      <alignment horizontal="left"/>
    </xf>
    <xf numFmtId="0" fontId="21" fillId="0" borderId="17" xfId="90" applyFont="1" applyBorder="1" applyAlignment="1" applyProtection="1">
      <alignment horizontal="left"/>
      <protection/>
    </xf>
    <xf numFmtId="0" fontId="0" fillId="0" borderId="17" xfId="90" applyFont="1" applyBorder="1" applyProtection="1">
      <alignment/>
      <protection/>
    </xf>
    <xf numFmtId="0" fontId="25" fillId="0" borderId="0" xfId="0" applyFont="1" applyAlignment="1">
      <alignment horizontal="center" vertical="center"/>
    </xf>
    <xf numFmtId="0" fontId="35" fillId="0" borderId="29" xfId="0" applyFont="1" applyBorder="1" applyAlignment="1" applyProtection="1">
      <alignment horizontal="center" vertical="center" wrapText="1"/>
      <protection/>
    </xf>
    <xf numFmtId="0" fontId="27" fillId="0" borderId="0" xfId="0" applyFont="1" applyAlignment="1" applyProtection="1">
      <alignment horizontal="center" vertical="center" wrapText="1"/>
      <protection/>
    </xf>
    <xf numFmtId="0" fontId="27" fillId="0" borderId="0" xfId="0" applyFont="1" applyAlignment="1" applyProtection="1">
      <alignment horizontal="center"/>
      <protection/>
    </xf>
    <xf numFmtId="4" fontId="24" fillId="25" borderId="13" xfId="106" applyNumberFormat="1" applyFont="1" applyFill="1" applyBorder="1" applyAlignment="1" applyProtection="1">
      <alignment horizontal="center" vertical="center" shrinkToFit="1"/>
      <protection/>
    </xf>
    <xf numFmtId="10" fontId="24" fillId="21" borderId="0" xfId="95" applyNumberFormat="1" applyFont="1" applyFill="1" applyBorder="1" applyAlignment="1" applyProtection="1">
      <alignment horizontal="center" vertical="center" shrinkToFit="1"/>
      <protection/>
    </xf>
    <xf numFmtId="4" fontId="24" fillId="21" borderId="13" xfId="106" applyNumberFormat="1" applyFont="1" applyFill="1" applyBorder="1" applyAlignment="1" applyProtection="1">
      <alignment horizontal="center" vertical="center" shrinkToFit="1"/>
      <protection/>
    </xf>
    <xf numFmtId="0" fontId="35" fillId="0" borderId="30" xfId="0" applyFont="1" applyBorder="1" applyAlignment="1" applyProtection="1">
      <alignment horizontal="center" vertical="center" wrapText="1"/>
      <protection/>
    </xf>
    <xf numFmtId="0" fontId="0" fillId="0" borderId="17" xfId="0" applyFont="1" applyFill="1" applyBorder="1" applyProtection="1">
      <protection/>
    </xf>
    <xf numFmtId="0" fontId="0" fillId="0" borderId="17" xfId="0" applyFont="1" applyFill="1" applyBorder="1" applyAlignment="1" applyProtection="1">
      <alignment horizontal="center"/>
      <protection/>
    </xf>
    <xf numFmtId="0" fontId="21" fillId="25" borderId="18" xfId="0" applyFont="1" applyFill="1" applyBorder="1" applyAlignment="1" applyProtection="1">
      <alignment horizontal="center" vertical="center"/>
      <protection/>
    </xf>
    <xf numFmtId="0" fontId="21" fillId="21" borderId="11" xfId="0" applyFont="1" applyFill="1" applyBorder="1" applyAlignment="1" applyProtection="1">
      <alignment horizontal="center" vertical="center"/>
      <protection/>
    </xf>
    <xf numFmtId="0" fontId="21" fillId="21" borderId="18" xfId="0" applyFont="1" applyFill="1" applyBorder="1" applyAlignment="1" applyProtection="1">
      <alignment horizontal="center" vertical="center"/>
      <protection/>
    </xf>
    <xf numFmtId="0" fontId="0" fillId="22" borderId="14" xfId="0" applyFont="1" applyFill="1" applyBorder="1" applyAlignment="1" applyProtection="1">
      <alignment horizontal="center" vertical="center"/>
      <protection locked="0"/>
    </xf>
    <xf numFmtId="0" fontId="35" fillId="0" borderId="0" xfId="0" applyFont="1" applyAlignment="1" applyProtection="1">
      <alignment horizontal="center" wrapText="1"/>
      <protection/>
    </xf>
    <xf numFmtId="0" fontId="44" fillId="0" borderId="0" xfId="0" applyFont="1" applyFill="1" applyProtection="1">
      <protection/>
    </xf>
    <xf numFmtId="0" fontId="0" fillId="0" borderId="31" xfId="0" applyNumberFormat="1" applyFont="1" applyFill="1" applyBorder="1" applyAlignment="1">
      <alignment vertical="center" wrapText="1" shrinkToFit="1"/>
    </xf>
    <xf numFmtId="0" fontId="37" fillId="24" borderId="32" xfId="0" applyNumberFormat="1" applyFont="1" applyFill="1" applyBorder="1" applyAlignment="1" applyProtection="1">
      <alignment horizontal="center" vertical="center" wrapText="1"/>
      <protection/>
    </xf>
    <xf numFmtId="0" fontId="1" fillId="21" borderId="23" xfId="0" applyNumberFormat="1" applyFont="1" applyFill="1" applyBorder="1" applyAlignment="1" applyProtection="1">
      <alignment vertical="center" wrapText="1"/>
      <protection/>
    </xf>
    <xf numFmtId="164" fontId="0" fillId="0" borderId="28" xfId="106" applyFont="1" applyFill="1" applyBorder="1" applyAlignment="1" applyProtection="1">
      <alignment vertical="center" shrinkToFit="1"/>
      <protection/>
    </xf>
    <xf numFmtId="0" fontId="0" fillId="0" borderId="0" xfId="0" applyFont="1" applyAlignment="1" applyProtection="1">
      <alignment horizontal="center"/>
      <protection locked="0"/>
    </xf>
    <xf numFmtId="0" fontId="21" fillId="25" borderId="11" xfId="0" applyFont="1" applyFill="1" applyBorder="1" applyAlignment="1" applyProtection="1">
      <alignment horizontal="center" vertical="center"/>
      <protection/>
    </xf>
    <xf numFmtId="10" fontId="28" fillId="0" borderId="0" xfId="95" applyNumberFormat="1" applyFont="1" applyFill="1" applyBorder="1" applyAlignment="1" applyProtection="1">
      <alignment horizontal="center" vertical="center"/>
      <protection/>
    </xf>
    <xf numFmtId="4" fontId="28" fillId="0" borderId="0" xfId="95" applyNumberFormat="1"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21" fillId="0" borderId="11" xfId="0" applyFont="1" applyFill="1" applyBorder="1" applyAlignment="1" applyProtection="1">
      <alignment horizontal="center" vertical="center"/>
      <protection/>
    </xf>
    <xf numFmtId="0" fontId="23" fillId="0" borderId="0" xfId="0" applyFont="1" applyFill="1" applyAlignment="1" applyProtection="1">
      <alignment vertical="center"/>
      <protection/>
    </xf>
    <xf numFmtId="0" fontId="20" fillId="0" borderId="0" xfId="0" applyFont="1" applyAlignment="1" applyProtection="1">
      <alignment horizontal="right" vertical="center"/>
      <protection/>
    </xf>
    <xf numFmtId="0" fontId="20" fillId="0" borderId="0" xfId="0" applyFont="1" applyAlignment="1" applyProtection="1">
      <alignment horizontal="left" vertical="center"/>
      <protection/>
    </xf>
    <xf numFmtId="0" fontId="0" fillId="0" borderId="0" xfId="0" applyFill="1" applyAlignment="1" applyProtection="1">
      <alignment horizontal="center" vertical="top"/>
      <protection/>
    </xf>
    <xf numFmtId="0" fontId="33" fillId="0" borderId="0" xfId="0" applyFont="1" applyAlignment="1" applyProtection="1">
      <alignment horizontal="left" vertical="center"/>
      <protection/>
    </xf>
    <xf numFmtId="0" fontId="0" fillId="0" borderId="0" xfId="0" applyFont="1" applyAlignment="1" applyProtection="1">
      <alignment horizontal="center" wrapText="1"/>
      <protection/>
    </xf>
    <xf numFmtId="0" fontId="19" fillId="0" borderId="0" xfId="0" applyFont="1" applyAlignment="1" applyProtection="1">
      <alignment wrapText="1"/>
      <protection/>
    </xf>
    <xf numFmtId="0" fontId="0" fillId="0" borderId="0" xfId="0" applyNumberFormat="1" applyProtection="1">
      <protection/>
    </xf>
    <xf numFmtId="0" fontId="21" fillId="0" borderId="0" xfId="0" applyFont="1" applyFill="1" applyBorder="1" applyAlignment="1" applyProtection="1">
      <alignment horizontal="center" wrapText="1"/>
      <protection/>
    </xf>
    <xf numFmtId="0" fontId="24" fillId="0" borderId="15" xfId="0" applyFont="1" applyFill="1" applyBorder="1" applyAlignment="1" applyProtection="1">
      <alignment horizontal="center" vertical="center"/>
      <protection/>
    </xf>
    <xf numFmtId="0" fontId="24" fillId="0" borderId="15" xfId="0" applyFont="1" applyFill="1" applyBorder="1" applyAlignment="1" applyProtection="1">
      <alignment horizontal="center" vertical="center" wrapText="1"/>
      <protection/>
    </xf>
    <xf numFmtId="0" fontId="24" fillId="0" borderId="3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4" fontId="0" fillId="0" borderId="0" xfId="0" applyNumberFormat="1" applyFont="1" applyFill="1" applyBorder="1" applyAlignment="1" applyProtection="1">
      <alignment horizontal="center" vertical="center"/>
      <protection/>
    </xf>
    <xf numFmtId="0" fontId="1" fillId="0" borderId="0" xfId="0" applyFont="1" applyFill="1" applyBorder="1" applyProtection="1">
      <protection/>
    </xf>
    <xf numFmtId="0" fontId="0" fillId="0" borderId="0" xfId="0" applyFont="1" applyBorder="1" applyProtection="1">
      <protection/>
    </xf>
    <xf numFmtId="0" fontId="1" fillId="0" borderId="0" xfId="0" applyFont="1" applyProtection="1">
      <protection/>
    </xf>
    <xf numFmtId="0" fontId="0" fillId="0" borderId="0" xfId="0" applyFont="1" applyBorder="1" applyAlignment="1" applyProtection="1">
      <alignment vertical="top"/>
      <protection/>
    </xf>
    <xf numFmtId="0" fontId="21" fillId="0" borderId="0" xfId="0" applyFont="1" applyBorder="1" applyAlignment="1" applyProtection="1">
      <alignment vertical="center"/>
      <protection/>
    </xf>
    <xf numFmtId="4" fontId="1" fillId="0" borderId="0" xfId="0" applyNumberFormat="1" applyFont="1" applyProtection="1">
      <protection/>
    </xf>
    <xf numFmtId="0" fontId="21" fillId="0" borderId="17" xfId="0" applyFont="1" applyFill="1" applyBorder="1" applyAlignment="1" applyProtection="1">
      <alignment horizontal="left" vertical="center"/>
      <protection/>
    </xf>
    <xf numFmtId="0" fontId="0" fillId="0" borderId="17" xfId="0" applyFont="1" applyBorder="1" applyProtection="1">
      <protection/>
    </xf>
    <xf numFmtId="0" fontId="0" fillId="0" borderId="0" xfId="0" applyFont="1" applyBorder="1" applyAlignment="1" applyProtection="1">
      <alignment horizontal="center"/>
      <protection/>
    </xf>
    <xf numFmtId="0" fontId="21" fillId="0" borderId="11" xfId="0" applyFont="1" applyFill="1" applyBorder="1" applyAlignment="1" applyProtection="1">
      <alignment wrapText="1"/>
      <protection/>
    </xf>
    <xf numFmtId="0" fontId="0" fillId="0" borderId="11" xfId="0" applyBorder="1" applyProtection="1">
      <protection/>
    </xf>
    <xf numFmtId="0" fontId="0" fillId="0" borderId="11" xfId="0" applyBorder="1" applyProtection="1" quotePrefix="1">
      <protection/>
    </xf>
    <xf numFmtId="10" fontId="28" fillId="0" borderId="11" xfId="95" applyNumberFormat="1" applyFont="1" applyFill="1" applyBorder="1" applyAlignment="1" applyProtection="1">
      <alignment horizontal="center" vertical="center"/>
      <protection/>
    </xf>
    <xf numFmtId="4" fontId="28" fillId="0" borderId="11" xfId="95" applyNumberFormat="1" applyFont="1" applyFill="1" applyBorder="1" applyAlignment="1" applyProtection="1">
      <alignment horizontal="center" vertical="center"/>
      <protection/>
    </xf>
    <xf numFmtId="4" fontId="24" fillId="25" borderId="18" xfId="106" applyNumberFormat="1" applyFont="1" applyFill="1" applyBorder="1" applyAlignment="1" applyProtection="1">
      <alignment horizontal="center" vertical="center" shrinkToFit="1"/>
      <protection/>
    </xf>
    <xf numFmtId="10" fontId="24" fillId="21" borderId="11" xfId="95" applyNumberFormat="1" applyFont="1" applyFill="1" applyBorder="1" applyAlignment="1" applyProtection="1">
      <alignment horizontal="center" vertical="center" shrinkToFit="1"/>
      <protection/>
    </xf>
    <xf numFmtId="4" fontId="24" fillId="21" borderId="18" xfId="106" applyNumberFormat="1" applyFont="1" applyFill="1" applyBorder="1" applyAlignment="1" applyProtection="1">
      <alignment horizontal="center" vertical="center" shrinkToFit="1"/>
      <protection/>
    </xf>
    <xf numFmtId="0" fontId="0" fillId="0" borderId="15"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10" fontId="24" fillId="25" borderId="11" xfId="95" applyNumberFormat="1" applyFont="1" applyFill="1" applyBorder="1" applyAlignment="1" applyProtection="1">
      <alignment horizontal="center" vertical="center" shrinkToFit="1"/>
      <protection/>
    </xf>
    <xf numFmtId="10" fontId="24" fillId="25" borderId="0" xfId="95" applyNumberFormat="1" applyFont="1" applyFill="1" applyBorder="1" applyAlignment="1" applyProtection="1">
      <alignment horizontal="center" vertical="center" shrinkToFit="1"/>
      <protection/>
    </xf>
    <xf numFmtId="4" fontId="28" fillId="0" borderId="12" xfId="95" applyNumberFormat="1" applyFont="1" applyFill="1" applyBorder="1" applyAlignment="1" applyProtection="1">
      <alignment horizontal="center" vertical="center"/>
      <protection/>
    </xf>
    <xf numFmtId="10" fontId="0" fillId="0" borderId="14" xfId="0" applyNumberFormat="1" applyBorder="1" applyProtection="1">
      <protection/>
    </xf>
    <xf numFmtId="49" fontId="0" fillId="22" borderId="24"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xf>
    <xf numFmtId="0" fontId="0" fillId="0" borderId="14" xfId="0" applyFont="1" applyBorder="1"/>
    <xf numFmtId="0" fontId="0" fillId="0" borderId="0" xfId="0" quotePrefix="1"/>
    <xf numFmtId="0" fontId="28" fillId="0" borderId="0" xfId="0" applyFont="1" applyFill="1" applyBorder="1" applyAlignment="1" applyProtection="1">
      <alignment horizontal="left" wrapText="1"/>
      <protection locked="0"/>
    </xf>
    <xf numFmtId="0" fontId="0" fillId="0" borderId="14" xfId="0" applyFont="1" applyBorder="1" applyProtection="1">
      <protection locked="0"/>
    </xf>
    <xf numFmtId="164" fontId="0" fillId="22" borderId="34" xfId="106" applyFont="1" applyFill="1" applyBorder="1" applyAlignment="1" applyProtection="1">
      <alignment vertical="center" shrinkToFit="1"/>
      <protection locked="0"/>
    </xf>
    <xf numFmtId="0" fontId="21" fillId="24" borderId="32" xfId="0" applyNumberFormat="1" applyFont="1" applyFill="1" applyBorder="1" applyAlignment="1" applyProtection="1">
      <alignment horizontal="center" vertical="center" shrinkToFit="1"/>
      <protection/>
    </xf>
    <xf numFmtId="0" fontId="21" fillId="24" borderId="25" xfId="0" applyNumberFormat="1" applyFont="1" applyFill="1" applyBorder="1" applyAlignment="1" applyProtection="1">
      <alignment horizontal="center" vertical="center" shrinkToFit="1"/>
      <protection/>
    </xf>
    <xf numFmtId="0" fontId="21" fillId="0" borderId="11" xfId="0" applyFont="1" applyFill="1" applyBorder="1" applyAlignment="1" applyProtection="1">
      <alignment horizontal="center" vertical="center" wrapText="1" shrinkToFit="1"/>
      <protection/>
    </xf>
    <xf numFmtId="14" fontId="24" fillId="0" borderId="11" xfId="0" applyNumberFormat="1"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protection/>
    </xf>
    <xf numFmtId="10" fontId="28" fillId="22" borderId="35" xfId="95" applyNumberFormat="1" applyFont="1" applyFill="1" applyBorder="1" applyAlignment="1" applyProtection="1">
      <alignment horizontal="center" vertical="center"/>
      <protection hidden="1" locked="0"/>
    </xf>
    <xf numFmtId="0" fontId="24" fillId="0" borderId="12" xfId="0" applyFont="1" applyFill="1" applyBorder="1" applyAlignment="1" applyProtection="1">
      <alignment horizontal="center" vertical="center" wrapText="1"/>
      <protection/>
    </xf>
    <xf numFmtId="0" fontId="21" fillId="0" borderId="0" xfId="0" applyFont="1" applyFill="1" applyBorder="1" applyAlignment="1" applyProtection="1">
      <alignment wrapText="1"/>
      <protection/>
    </xf>
    <xf numFmtId="0" fontId="0" fillId="20" borderId="0" xfId="0" applyFont="1" applyFill="1"/>
    <xf numFmtId="10" fontId="28" fillId="22" borderId="36" xfId="95" applyNumberFormat="1" applyFont="1" applyFill="1" applyBorder="1" applyAlignment="1" applyProtection="1">
      <alignment horizontal="center" vertical="center"/>
      <protection locked="0"/>
    </xf>
    <xf numFmtId="10" fontId="28" fillId="22" borderId="35" xfId="95" applyNumberFormat="1" applyFont="1" applyFill="1" applyBorder="1" applyAlignment="1" applyProtection="1">
      <alignment horizontal="center" vertical="center"/>
      <protection locked="0"/>
    </xf>
    <xf numFmtId="10" fontId="28" fillId="22" borderId="37" xfId="95" applyNumberFormat="1" applyFont="1" applyFill="1" applyBorder="1" applyAlignment="1" applyProtection="1">
      <alignment horizontal="center" vertical="center"/>
      <protection locked="0"/>
    </xf>
    <xf numFmtId="164" fontId="0" fillId="26" borderId="24" xfId="106" applyFont="1" applyFill="1" applyBorder="1" applyAlignment="1" applyProtection="1">
      <alignment vertical="center" wrapText="1"/>
      <protection locked="0"/>
    </xf>
    <xf numFmtId="0" fontId="0" fillId="26" borderId="24" xfId="0" applyNumberFormat="1" applyFont="1" applyFill="1" applyBorder="1" applyAlignment="1" applyProtection="1">
      <alignment horizontal="center" vertical="center" wrapText="1"/>
      <protection locked="0"/>
    </xf>
    <xf numFmtId="0" fontId="0" fillId="26" borderId="24" xfId="0" applyNumberFormat="1" applyFont="1" applyFill="1" applyBorder="1" applyAlignment="1" applyProtection="1">
      <alignment vertical="center" wrapText="1"/>
      <protection locked="0"/>
    </xf>
    <xf numFmtId="10" fontId="0" fillId="26" borderId="24" xfId="95" applyNumberFormat="1" applyFont="1" applyFill="1" applyBorder="1" applyAlignment="1" applyProtection="1">
      <alignment horizontal="center" vertical="center" wrapText="1"/>
      <protection locked="0"/>
    </xf>
    <xf numFmtId="164" fontId="0" fillId="22" borderId="24" xfId="106" applyNumberFormat="1" applyFont="1" applyFill="1" applyBorder="1" applyAlignment="1" applyProtection="1">
      <alignment vertical="center" shrinkToFit="1"/>
      <protection/>
    </xf>
    <xf numFmtId="0" fontId="21" fillId="0" borderId="0" xfId="91" applyFont="1" applyBorder="1" applyAlignment="1" applyProtection="1">
      <alignment horizontal="left" vertical="top"/>
      <protection/>
    </xf>
    <xf numFmtId="4" fontId="24" fillId="0" borderId="14" xfId="90" applyNumberFormat="1" applyFont="1" applyFill="1" applyBorder="1" applyAlignment="1" applyProtection="1">
      <alignment horizontal="center" vertical="center" wrapText="1"/>
      <protection/>
    </xf>
    <xf numFmtId="0" fontId="24" fillId="0" borderId="0" xfId="0" applyFont="1" applyFill="1" applyBorder="1" applyAlignment="1" applyProtection="1">
      <alignment horizontal="center" vertical="center" wrapText="1"/>
      <protection/>
    </xf>
    <xf numFmtId="0" fontId="0" fillId="22" borderId="18" xfId="0" applyFont="1" applyFill="1" applyBorder="1" applyAlignment="1" applyProtection="1">
      <alignment horizontal="left" vertical="top" wrapText="1"/>
      <protection locked="0"/>
    </xf>
    <xf numFmtId="0" fontId="0" fillId="22" borderId="13" xfId="0" applyFont="1" applyFill="1" applyBorder="1" applyAlignment="1" applyProtection="1">
      <alignment horizontal="left" vertical="top" wrapText="1"/>
      <protection locked="0"/>
    </xf>
    <xf numFmtId="0" fontId="0" fillId="22" borderId="3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wrapText="1" indent="3"/>
      <protection/>
    </xf>
    <xf numFmtId="0" fontId="0" fillId="0" borderId="0" xfId="0" applyAlignment="1" applyProtection="1">
      <alignment horizontal="left" indent="3"/>
      <protection/>
    </xf>
    <xf numFmtId="0" fontId="21" fillId="0" borderId="11" xfId="91" applyFont="1" applyBorder="1" applyAlignment="1" applyProtection="1">
      <alignment horizontal="left" vertical="top"/>
      <protection/>
    </xf>
    <xf numFmtId="0" fontId="21" fillId="0" borderId="0" xfId="91" applyFont="1" applyBorder="1" applyAlignment="1" applyProtection="1">
      <alignment horizontal="left" vertical="top"/>
      <protection/>
    </xf>
    <xf numFmtId="0" fontId="0" fillId="0" borderId="0" xfId="0" applyFont="1" applyFill="1" applyBorder="1" applyAlignment="1" applyProtection="1">
      <alignment horizontal="left" wrapText="1" indent="2"/>
      <protection/>
    </xf>
    <xf numFmtId="0" fontId="0" fillId="0" borderId="0" xfId="0" applyAlignment="1" applyProtection="1">
      <alignment horizontal="left" indent="2"/>
      <protection/>
    </xf>
    <xf numFmtId="0" fontId="21" fillId="0" borderId="39" xfId="0" applyFont="1" applyFill="1" applyBorder="1" applyAlignment="1" applyProtection="1">
      <alignment horizontal="left" wrapText="1"/>
      <protection/>
    </xf>
    <xf numFmtId="0" fontId="21" fillId="0" borderId="0" xfId="0" applyFont="1" applyFill="1" applyBorder="1" applyAlignment="1" applyProtection="1">
      <alignment horizontal="left" wrapText="1"/>
      <protection/>
    </xf>
    <xf numFmtId="0" fontId="21" fillId="0" borderId="0" xfId="0" applyFont="1" applyFill="1" applyBorder="1" applyAlignment="1" applyProtection="1">
      <alignment horizontal="left" wrapText="1" indent="1"/>
      <protection/>
    </xf>
    <xf numFmtId="0" fontId="21" fillId="0" borderId="0" xfId="0" applyFont="1" applyAlignment="1" applyProtection="1">
      <alignment horizontal="left" indent="1"/>
      <protection/>
    </xf>
    <xf numFmtId="0" fontId="21" fillId="0" borderId="11" xfId="91" applyFont="1" applyFill="1" applyBorder="1" applyAlignment="1" applyProtection="1">
      <alignment horizontal="left" vertical="top"/>
      <protection/>
    </xf>
    <xf numFmtId="0" fontId="21" fillId="0" borderId="0" xfId="91" applyFont="1" applyFill="1" applyBorder="1" applyAlignment="1" applyProtection="1">
      <alignment horizontal="left" vertical="top"/>
      <protection/>
    </xf>
    <xf numFmtId="0" fontId="21" fillId="0" borderId="12" xfId="91" applyFont="1" applyFill="1" applyBorder="1" applyAlignment="1" applyProtection="1">
      <alignment horizontal="left" vertical="top"/>
      <protection/>
    </xf>
    <xf numFmtId="0" fontId="21" fillId="0" borderId="12" xfId="91" applyFont="1" applyBorder="1" applyAlignment="1" applyProtection="1">
      <alignment horizontal="left" vertical="top"/>
      <protection/>
    </xf>
    <xf numFmtId="0" fontId="0" fillId="22" borderId="38" xfId="0" applyFill="1" applyBorder="1" applyAlignment="1" applyProtection="1">
      <alignment horizontal="left" vertical="top" wrapText="1"/>
      <protection locked="0"/>
    </xf>
    <xf numFmtId="0" fontId="45" fillId="27" borderId="0" xfId="0" applyFont="1" applyFill="1" applyBorder="1" applyAlignment="1" applyProtection="1">
      <alignment horizontal="left" vertical="top" wrapText="1" indent="2"/>
      <protection/>
    </xf>
    <xf numFmtId="0" fontId="45" fillId="27" borderId="0" xfId="0" applyFont="1" applyFill="1" applyBorder="1" applyAlignment="1" applyProtection="1">
      <alignment horizontal="left" vertical="top" wrapText="1" indent="2"/>
      <protection/>
    </xf>
    <xf numFmtId="0" fontId="45" fillId="27" borderId="0" xfId="0" applyFont="1" applyFill="1" applyAlignment="1" applyProtection="1">
      <alignment horizontal="left" vertical="top" indent="2"/>
      <protection/>
    </xf>
    <xf numFmtId="167" fontId="0" fillId="22" borderId="18" xfId="0" applyNumberFormat="1" applyFill="1" applyBorder="1" applyAlignment="1" applyProtection="1">
      <alignment horizontal="center" vertical="top" wrapText="1"/>
      <protection locked="0"/>
    </xf>
    <xf numFmtId="167" fontId="0" fillId="22" borderId="38" xfId="0" applyNumberFormat="1" applyFill="1" applyBorder="1" applyAlignment="1" applyProtection="1">
      <alignment horizontal="center" vertical="top" wrapText="1"/>
      <protection locked="0"/>
    </xf>
    <xf numFmtId="0" fontId="35" fillId="0" borderId="11" xfId="91" applyFont="1" applyBorder="1" applyAlignment="1" applyProtection="1">
      <alignment horizontal="left" vertical="top"/>
      <protection/>
    </xf>
    <xf numFmtId="0" fontId="35" fillId="0" borderId="12" xfId="91" applyFont="1" applyBorder="1" applyAlignment="1" applyProtection="1">
      <alignment horizontal="left" vertical="top"/>
      <protection/>
    </xf>
    <xf numFmtId="0" fontId="20" fillId="20" borderId="17" xfId="0" applyFont="1" applyFill="1" applyBorder="1" applyAlignment="1" applyProtection="1">
      <alignment horizontal="center" vertical="center" wrapText="1"/>
      <protection/>
    </xf>
    <xf numFmtId="0" fontId="20" fillId="20" borderId="40" xfId="0" applyFont="1" applyFill="1" applyBorder="1" applyAlignment="1" applyProtection="1">
      <alignment horizontal="center" vertical="center" wrapText="1"/>
      <protection/>
    </xf>
    <xf numFmtId="0" fontId="20" fillId="20" borderId="13" xfId="0" applyFont="1" applyFill="1" applyBorder="1" applyAlignment="1" applyProtection="1">
      <alignment horizontal="center" vertical="center" wrapText="1"/>
      <protection/>
    </xf>
    <xf numFmtId="0" fontId="20" fillId="20" borderId="38" xfId="0" applyFont="1" applyFill="1" applyBorder="1" applyAlignment="1" applyProtection="1">
      <alignment horizontal="center" vertical="center" wrapText="1"/>
      <protection/>
    </xf>
    <xf numFmtId="49" fontId="0" fillId="22" borderId="0" xfId="0" applyNumberFormat="1" applyFill="1" applyBorder="1" applyAlignment="1" applyProtection="1">
      <alignment horizontal="left"/>
      <protection locked="0"/>
    </xf>
    <xf numFmtId="14" fontId="0" fillId="22" borderId="18" xfId="95" applyNumberFormat="1" applyFont="1" applyFill="1" applyBorder="1" applyAlignment="1" applyProtection="1">
      <alignment horizontal="center" vertical="top" wrapText="1"/>
      <protection locked="0"/>
    </xf>
    <xf numFmtId="14" fontId="0" fillId="22" borderId="38" xfId="95" applyNumberFormat="1" applyFont="1" applyFill="1" applyBorder="1" applyAlignment="1" applyProtection="1">
      <alignment horizontal="center" vertical="top" wrapText="1"/>
      <protection locked="0"/>
    </xf>
    <xf numFmtId="49" fontId="0" fillId="22" borderId="18" xfId="95" applyNumberFormat="1" applyFont="1" applyFill="1" applyBorder="1" applyAlignment="1" applyProtection="1">
      <alignment horizontal="left" vertical="top" wrapText="1"/>
      <protection locked="0"/>
    </xf>
    <xf numFmtId="49" fontId="0" fillId="22" borderId="13" xfId="95" applyNumberFormat="1" applyFont="1" applyFill="1" applyBorder="1" applyAlignment="1" applyProtection="1">
      <alignment horizontal="left" vertical="top" wrapText="1"/>
      <protection locked="0"/>
    </xf>
    <xf numFmtId="49" fontId="0" fillId="22" borderId="13" xfId="95" applyNumberFormat="1" applyFont="1" applyFill="1" applyBorder="1" applyAlignment="1" applyProtection="1">
      <alignment horizontal="left" vertical="top" wrapText="1"/>
      <protection locked="0"/>
    </xf>
    <xf numFmtId="49" fontId="0" fillId="22" borderId="38" xfId="95" applyNumberFormat="1" applyFont="1" applyFill="1" applyBorder="1" applyAlignment="1" applyProtection="1">
      <alignment horizontal="left" vertical="top" wrapText="1"/>
      <protection locked="0"/>
    </xf>
    <xf numFmtId="14" fontId="0" fillId="22" borderId="38" xfId="95" applyNumberFormat="1" applyFont="1" applyFill="1" applyBorder="1" applyAlignment="1" applyProtection="1">
      <alignment horizontal="center" vertical="top" wrapText="1"/>
      <protection locked="0"/>
    </xf>
    <xf numFmtId="0" fontId="24" fillId="0" borderId="0" xfId="0" applyFont="1" applyFill="1" applyBorder="1" applyAlignment="1" applyProtection="1">
      <alignment horizontal="center" vertical="center" wrapText="1"/>
      <protection/>
    </xf>
    <xf numFmtId="0" fontId="0" fillId="0" borderId="39"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left" wrapText="1"/>
      <protection/>
    </xf>
    <xf numFmtId="0" fontId="0" fillId="0" borderId="39" xfId="0" applyFont="1" applyFill="1" applyBorder="1" applyAlignment="1" applyProtection="1">
      <alignment horizontal="left" wrapText="1"/>
      <protection/>
    </xf>
    <xf numFmtId="0" fontId="0" fillId="0" borderId="0" xfId="0" applyFont="1" applyFill="1" applyBorder="1" applyAlignment="1" applyProtection="1">
      <alignment horizontal="left" wrapText="1" indent="1"/>
      <protection/>
    </xf>
    <xf numFmtId="49" fontId="0" fillId="22" borderId="0" xfId="0" applyNumberFormat="1" applyFont="1" applyFill="1" applyBorder="1" applyAlignment="1" applyProtection="1">
      <alignment horizontal="left"/>
      <protection locked="0"/>
    </xf>
    <xf numFmtId="49" fontId="0" fillId="22" borderId="18" xfId="0" applyNumberFormat="1" applyFont="1" applyFill="1" applyBorder="1" applyAlignment="1" applyProtection="1">
      <alignment horizontal="left" vertical="top" wrapText="1"/>
      <protection locked="0"/>
    </xf>
    <xf numFmtId="49" fontId="0" fillId="22" borderId="38" xfId="0" applyNumberFormat="1" applyFont="1" applyFill="1" applyBorder="1" applyAlignment="1" applyProtection="1">
      <alignment horizontal="left" vertical="top" wrapText="1"/>
      <protection locked="0"/>
    </xf>
    <xf numFmtId="49" fontId="0" fillId="0" borderId="18" xfId="0" applyNumberFormat="1" applyFill="1" applyBorder="1" applyAlignment="1" applyProtection="1">
      <alignment horizontal="left" vertical="top" wrapText="1"/>
      <protection/>
    </xf>
    <xf numFmtId="49" fontId="0" fillId="0" borderId="13" xfId="0" applyNumberFormat="1" applyFill="1" applyBorder="1" applyAlignment="1" applyProtection="1">
      <alignment horizontal="left" vertical="top" wrapText="1"/>
      <protection/>
    </xf>
    <xf numFmtId="0" fontId="0" fillId="0" borderId="18" xfId="0" applyFill="1" applyBorder="1" applyAlignment="1" applyProtection="1">
      <alignment horizontal="left" vertical="top" wrapText="1"/>
      <protection/>
    </xf>
    <xf numFmtId="0" fontId="0" fillId="0" borderId="13" xfId="0" applyFill="1" applyBorder="1" applyAlignment="1" applyProtection="1">
      <alignment horizontal="left" vertical="top" wrapText="1"/>
      <protection/>
    </xf>
    <xf numFmtId="0" fontId="0" fillId="0" borderId="38" xfId="0" applyFill="1" applyBorder="1" applyAlignment="1" applyProtection="1">
      <alignment horizontal="left" vertical="top" wrapText="1"/>
      <protection/>
    </xf>
    <xf numFmtId="0" fontId="35" fillId="0" borderId="11" xfId="91" applyFont="1" applyFill="1" applyBorder="1" applyAlignment="1" applyProtection="1">
      <alignment horizontal="left" vertical="top"/>
      <protection/>
    </xf>
    <xf numFmtId="0" fontId="35" fillId="0" borderId="12" xfId="91" applyFont="1" applyFill="1" applyBorder="1" applyAlignment="1" applyProtection="1">
      <alignment horizontal="left" vertical="top"/>
      <protection/>
    </xf>
    <xf numFmtId="167" fontId="0" fillId="0" borderId="18" xfId="0" applyNumberFormat="1" applyFill="1" applyBorder="1" applyAlignment="1" applyProtection="1">
      <alignment horizontal="center" vertical="top" wrapText="1"/>
      <protection/>
    </xf>
    <xf numFmtId="167" fontId="0" fillId="0" borderId="38" xfId="0" applyNumberFormat="1" applyFill="1" applyBorder="1" applyAlignment="1" applyProtection="1">
      <alignment horizontal="center" vertical="top" wrapText="1"/>
      <protection/>
    </xf>
    <xf numFmtId="0" fontId="0" fillId="0" borderId="18" xfId="0" applyFont="1" applyFill="1" applyBorder="1" applyAlignment="1" applyProtection="1">
      <alignment horizontal="left" vertical="top" wrapText="1"/>
      <protection/>
    </xf>
    <xf numFmtId="0" fontId="0" fillId="0" borderId="13"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14" fontId="0" fillId="22" borderId="18" xfId="0" applyNumberFormat="1" applyFill="1" applyBorder="1" applyAlignment="1" applyProtection="1">
      <alignment horizontal="left" vertical="top" wrapText="1"/>
      <protection locked="0"/>
    </xf>
    <xf numFmtId="14" fontId="0" fillId="22" borderId="13" xfId="0" applyNumberFormat="1" applyFill="1" applyBorder="1" applyAlignment="1" applyProtection="1">
      <alignment horizontal="left" vertical="top" wrapText="1"/>
      <protection locked="0"/>
    </xf>
    <xf numFmtId="14" fontId="0" fillId="22" borderId="38" xfId="0" applyNumberFormat="1" applyFill="1" applyBorder="1" applyAlignment="1" applyProtection="1">
      <alignment horizontal="left" vertical="top" wrapText="1"/>
      <protection locked="0"/>
    </xf>
    <xf numFmtId="0" fontId="0" fillId="22" borderId="0" xfId="0" applyFont="1" applyFill="1" applyBorder="1" applyAlignment="1" applyProtection="1">
      <alignment horizontal="left"/>
      <protection locked="0"/>
    </xf>
    <xf numFmtId="0" fontId="0" fillId="22" borderId="0" xfId="0" applyFill="1" applyBorder="1" applyAlignment="1" applyProtection="1">
      <alignment horizontal="left"/>
      <protection locked="0"/>
    </xf>
    <xf numFmtId="0" fontId="45" fillId="27" borderId="0" xfId="0" applyFont="1" applyFill="1" applyAlignment="1" applyProtection="1">
      <alignment horizontal="left" vertical="top" indent="2"/>
      <protection/>
    </xf>
    <xf numFmtId="10" fontId="0" fillId="0" borderId="18" xfId="95" applyNumberFormat="1" applyFont="1" applyFill="1" applyBorder="1" applyAlignment="1" applyProtection="1">
      <alignment horizontal="left" vertical="top" wrapText="1"/>
      <protection/>
    </xf>
    <xf numFmtId="10" fontId="0" fillId="0" borderId="13" xfId="95" applyNumberFormat="1" applyFont="1" applyFill="1" applyBorder="1" applyAlignment="1" applyProtection="1">
      <alignment horizontal="left" vertical="top" wrapText="1"/>
      <protection/>
    </xf>
    <xf numFmtId="10" fontId="0" fillId="0" borderId="13" xfId="95" applyNumberFormat="1" applyFont="1" applyFill="1" applyBorder="1" applyAlignment="1" applyProtection="1">
      <alignment horizontal="left" vertical="top" wrapText="1"/>
      <protection/>
    </xf>
    <xf numFmtId="10" fontId="0" fillId="0" borderId="38" xfId="95" applyNumberFormat="1" applyFont="1" applyFill="1" applyBorder="1" applyAlignment="1" applyProtection="1">
      <alignment horizontal="left" vertical="top" wrapText="1"/>
      <protection/>
    </xf>
    <xf numFmtId="14" fontId="0" fillId="0" borderId="18" xfId="95" applyNumberFormat="1" applyFont="1" applyFill="1" applyBorder="1" applyAlignment="1" applyProtection="1">
      <alignment horizontal="center" vertical="top" wrapText="1"/>
      <protection/>
    </xf>
    <xf numFmtId="14" fontId="0" fillId="0" borderId="38" xfId="95" applyNumberFormat="1" applyFont="1" applyFill="1" applyBorder="1" applyAlignment="1" applyProtection="1">
      <alignment horizontal="center" vertical="top" wrapText="1"/>
      <protection/>
    </xf>
    <xf numFmtId="14" fontId="0" fillId="0" borderId="18" xfId="95" applyNumberFormat="1" applyFont="1" applyFill="1" applyBorder="1" applyAlignment="1" applyProtection="1">
      <alignment horizontal="center" vertical="top" wrapText="1"/>
      <protection/>
    </xf>
    <xf numFmtId="14" fontId="0" fillId="0" borderId="38" xfId="95" applyNumberFormat="1" applyFont="1" applyFill="1" applyBorder="1" applyAlignment="1" applyProtection="1">
      <alignment horizontal="center" vertical="top" wrapText="1"/>
      <protection/>
    </xf>
    <xf numFmtId="167" fontId="0" fillId="0" borderId="18" xfId="95" applyNumberFormat="1" applyFont="1" applyFill="1" applyBorder="1" applyAlignment="1" applyProtection="1">
      <alignment horizontal="left" vertical="top" wrapText="1"/>
      <protection/>
    </xf>
    <xf numFmtId="167" fontId="0" fillId="0" borderId="13" xfId="95" applyNumberFormat="1" applyFont="1" applyFill="1" applyBorder="1" applyAlignment="1" applyProtection="1">
      <alignment horizontal="left" vertical="top" wrapText="1"/>
      <protection/>
    </xf>
    <xf numFmtId="0" fontId="0" fillId="22" borderId="13" xfId="0" applyFill="1" applyBorder="1" applyAlignment="1" applyProtection="1">
      <alignment horizontal="left" vertical="top" wrapText="1"/>
      <protection locked="0"/>
    </xf>
    <xf numFmtId="49" fontId="0" fillId="22" borderId="13" xfId="0" applyNumberFormat="1" applyFill="1" applyBorder="1" applyAlignment="1" applyProtection="1">
      <alignment horizontal="left" vertical="top" wrapText="1"/>
      <protection locked="0"/>
    </xf>
    <xf numFmtId="49" fontId="0" fillId="22" borderId="38" xfId="0" applyNumberFormat="1" applyFill="1" applyBorder="1" applyAlignment="1" applyProtection="1">
      <alignment horizontal="left" vertical="top" wrapText="1"/>
      <protection locked="0"/>
    </xf>
    <xf numFmtId="10" fontId="0" fillId="22" borderId="18" xfId="95" applyNumberFormat="1" applyFont="1" applyFill="1" applyBorder="1" applyAlignment="1" applyProtection="1">
      <alignment horizontal="left" vertical="top" wrapText="1"/>
      <protection locked="0"/>
    </xf>
    <xf numFmtId="10" fontId="0" fillId="22" borderId="13" xfId="95" applyNumberFormat="1" applyFont="1" applyFill="1" applyBorder="1" applyAlignment="1" applyProtection="1">
      <alignment horizontal="left" vertical="top" wrapText="1"/>
      <protection locked="0"/>
    </xf>
    <xf numFmtId="10" fontId="0" fillId="22" borderId="38" xfId="95" applyNumberFormat="1" applyFont="1" applyFill="1" applyBorder="1" applyAlignment="1" applyProtection="1">
      <alignment horizontal="left" vertical="top" wrapText="1"/>
      <protection locked="0"/>
    </xf>
    <xf numFmtId="171" fontId="0" fillId="0" borderId="0" xfId="90" applyNumberFormat="1" applyFont="1" applyFill="1" applyBorder="1" applyAlignment="1" applyProtection="1">
      <alignment horizontal="left"/>
      <protection/>
    </xf>
    <xf numFmtId="0" fontId="41" fillId="0" borderId="0" xfId="90" applyFont="1" applyAlignment="1" applyProtection="1">
      <alignment horizontal="left" vertical="center" indent="1"/>
      <protection/>
    </xf>
    <xf numFmtId="0" fontId="0" fillId="0" borderId="14" xfId="90" applyFont="1" applyBorder="1" applyAlignment="1" applyProtection="1">
      <alignment horizontal="left" vertical="center" wrapText="1"/>
      <protection/>
    </xf>
    <xf numFmtId="0" fontId="36" fillId="0" borderId="0" xfId="90" applyFont="1" applyBorder="1" applyAlignment="1" applyProtection="1">
      <alignment horizontal="left" vertical="center" wrapText="1"/>
      <protection/>
    </xf>
    <xf numFmtId="2" fontId="31" fillId="0" borderId="17" xfId="90" applyNumberFormat="1" applyFont="1" applyFill="1" applyBorder="1" applyAlignment="1" applyProtection="1">
      <alignment horizontal="center" vertical="center"/>
      <protection/>
    </xf>
    <xf numFmtId="0" fontId="24" fillId="0" borderId="0" xfId="90" applyFont="1" applyBorder="1" applyAlignment="1" applyProtection="1">
      <alignment horizontal="left" vertical="center"/>
      <protection/>
    </xf>
    <xf numFmtId="0" fontId="0" fillId="0" borderId="0" xfId="90" applyFont="1" applyBorder="1" applyAlignment="1" applyProtection="1">
      <alignment horizontal="center" vertical="center"/>
      <protection/>
    </xf>
    <xf numFmtId="0" fontId="33" fillId="0" borderId="14" xfId="90" applyFont="1" applyBorder="1" applyAlignment="1" applyProtection="1">
      <alignment horizontal="center" vertical="center" wrapText="1"/>
      <protection/>
    </xf>
    <xf numFmtId="168" fontId="0" fillId="0" borderId="13" xfId="90" applyNumberFormat="1" applyFont="1" applyBorder="1" applyAlignment="1" applyProtection="1">
      <alignment horizontal="left"/>
      <protection/>
    </xf>
    <xf numFmtId="49" fontId="0" fillId="22" borderId="32" xfId="90" applyNumberFormat="1" applyFont="1" applyFill="1" applyBorder="1" applyAlignment="1" applyProtection="1">
      <alignment horizontal="left" vertical="top" wrapText="1"/>
      <protection locked="0"/>
    </xf>
    <xf numFmtId="49" fontId="0" fillId="22" borderId="10" xfId="90" applyNumberFormat="1" applyFont="1" applyFill="1" applyBorder="1" applyAlignment="1" applyProtection="1">
      <alignment horizontal="left" vertical="top" wrapText="1"/>
      <protection locked="0"/>
    </xf>
    <xf numFmtId="49" fontId="0" fillId="22" borderId="19" xfId="90" applyNumberFormat="1" applyFont="1" applyFill="1" applyBorder="1" applyAlignment="1" applyProtection="1">
      <alignment horizontal="left" vertical="top" wrapText="1"/>
      <protection locked="0"/>
    </xf>
    <xf numFmtId="0" fontId="0" fillId="0" borderId="17" xfId="90" applyFont="1" applyBorder="1" applyAlignment="1" applyProtection="1">
      <alignment horizontal="center" vertical="center"/>
      <protection/>
    </xf>
    <xf numFmtId="49" fontId="0" fillId="0" borderId="0" xfId="90" applyNumberFormat="1" applyFont="1" applyFill="1" applyBorder="1" applyAlignment="1" applyProtection="1">
      <alignment horizontal="left"/>
      <protection locked="0"/>
    </xf>
    <xf numFmtId="0" fontId="43" fillId="0" borderId="0" xfId="90" applyFont="1" applyAlignment="1" applyProtection="1">
      <alignment horizontal="center" vertical="top" wrapText="1"/>
      <protection/>
    </xf>
    <xf numFmtId="171" fontId="0" fillId="0" borderId="13" xfId="90" applyNumberFormat="1" applyFont="1" applyFill="1" applyBorder="1" applyAlignment="1" applyProtection="1">
      <alignment horizontal="left"/>
      <protection/>
    </xf>
    <xf numFmtId="0" fontId="0" fillId="0" borderId="14" xfId="90" applyFont="1" applyBorder="1" applyAlignment="1" applyProtection="1">
      <alignment horizontal="left" vertical="center"/>
      <protection/>
    </xf>
    <xf numFmtId="0" fontId="21" fillId="0" borderId="14" xfId="90" applyFont="1" applyFill="1" applyBorder="1" applyAlignment="1" applyProtection="1">
      <alignment horizontal="center" vertical="center"/>
      <protection/>
    </xf>
    <xf numFmtId="0" fontId="38" fillId="0" borderId="0" xfId="0" applyFont="1" applyBorder="1" applyAlignment="1" applyProtection="1" quotePrefix="1">
      <alignment horizontal="left" vertical="center"/>
      <protection/>
    </xf>
    <xf numFmtId="0" fontId="38" fillId="0" borderId="0" xfId="0" applyFont="1" applyBorder="1" applyAlignment="1" applyProtection="1">
      <alignment horizontal="left" vertical="center"/>
      <protection/>
    </xf>
    <xf numFmtId="0" fontId="39" fillId="0" borderId="0" xfId="0" applyFont="1" applyBorder="1" applyAlignment="1" applyProtection="1">
      <alignment horizontal="center"/>
      <protection/>
    </xf>
    <xf numFmtId="0" fontId="38" fillId="0" borderId="0" xfId="0" applyFont="1" applyBorder="1" applyAlignment="1" applyProtection="1">
      <alignment horizontal="center" vertical="top"/>
      <protection/>
    </xf>
    <xf numFmtId="0" fontId="38" fillId="0" borderId="0" xfId="0" applyFont="1" applyBorder="1" applyAlignment="1" applyProtection="1">
      <alignment horizontal="right" vertical="center"/>
      <protection/>
    </xf>
    <xf numFmtId="169" fontId="1" fillId="22" borderId="18" xfId="87" applyFont="1" applyFill="1" applyBorder="1" applyAlignment="1" applyProtection="1">
      <alignment horizontal="left"/>
      <protection locked="0"/>
    </xf>
    <xf numFmtId="169" fontId="1" fillId="22" borderId="13" xfId="87" applyFont="1" applyFill="1" applyBorder="1" applyAlignment="1" applyProtection="1">
      <alignment horizontal="left"/>
      <protection locked="0"/>
    </xf>
    <xf numFmtId="169" fontId="1" fillId="22" borderId="38" xfId="87" applyFont="1" applyFill="1" applyBorder="1" applyAlignment="1" applyProtection="1">
      <alignment horizontal="left"/>
      <protection locked="0"/>
    </xf>
    <xf numFmtId="0" fontId="0" fillId="0" borderId="18" xfId="90" applyFont="1" applyFill="1" applyBorder="1" applyAlignment="1" applyProtection="1">
      <alignment horizontal="center" vertical="top" wrapText="1"/>
      <protection/>
    </xf>
    <xf numFmtId="0" fontId="0" fillId="0" borderId="38" xfId="90" applyFont="1" applyFill="1" applyBorder="1" applyAlignment="1" applyProtection="1">
      <alignment horizontal="center" vertical="top" wrapText="1"/>
      <protection/>
    </xf>
    <xf numFmtId="0" fontId="0" fillId="0" borderId="18" xfId="90" applyFont="1" applyFill="1" applyBorder="1" applyAlignment="1" applyProtection="1">
      <alignment horizontal="left" vertical="top" wrapText="1"/>
      <protection/>
    </xf>
    <xf numFmtId="0" fontId="0" fillId="0" borderId="38" xfId="90" applyFont="1" applyFill="1" applyBorder="1" applyAlignment="1" applyProtection="1">
      <alignment horizontal="left" vertical="top" wrapText="1"/>
      <protection/>
    </xf>
    <xf numFmtId="49" fontId="0" fillId="0" borderId="18" xfId="90" applyNumberFormat="1" applyFont="1" applyFill="1" applyBorder="1" applyAlignment="1" applyProtection="1">
      <alignment horizontal="left" vertical="top" wrapText="1"/>
      <protection/>
    </xf>
    <xf numFmtId="0" fontId="0" fillId="0" borderId="13" xfId="90" applyNumberFormat="1" applyFont="1" applyFill="1" applyBorder="1" applyAlignment="1" applyProtection="1">
      <alignment horizontal="left" vertical="top" wrapText="1"/>
      <protection/>
    </xf>
    <xf numFmtId="0" fontId="0" fillId="0" borderId="38" xfId="90" applyNumberFormat="1" applyFont="1" applyFill="1" applyBorder="1" applyAlignment="1" applyProtection="1">
      <alignment horizontal="left" vertical="top" wrapText="1"/>
      <protection/>
    </xf>
    <xf numFmtId="0" fontId="1" fillId="0" borderId="16" xfId="87" applyNumberFormat="1" applyFont="1" applyFill="1" applyBorder="1" applyAlignment="1" applyProtection="1">
      <alignment horizontal="left" wrapText="1"/>
      <protection/>
    </xf>
    <xf numFmtId="0" fontId="21" fillId="0" borderId="0" xfId="90" applyFont="1" applyBorder="1" applyAlignment="1" applyProtection="1">
      <alignment horizontal="left" vertical="center"/>
      <protection/>
    </xf>
    <xf numFmtId="10" fontId="1" fillId="22" borderId="14" xfId="90" applyNumberFormat="1" applyFont="1" applyFill="1" applyBorder="1" applyAlignment="1" applyProtection="1">
      <alignment horizontal="center"/>
      <protection locked="0"/>
    </xf>
    <xf numFmtId="0" fontId="1" fillId="0" borderId="14" xfId="90" applyFont="1" applyFill="1" applyBorder="1" applyAlignment="1" applyProtection="1">
      <alignment horizontal="left"/>
      <protection/>
    </xf>
    <xf numFmtId="0" fontId="24" fillId="0" borderId="14" xfId="90" applyFont="1" applyBorder="1" applyAlignment="1" applyProtection="1">
      <alignment horizontal="center" vertical="center"/>
      <protection/>
    </xf>
    <xf numFmtId="0" fontId="1" fillId="0" borderId="14" xfId="90" applyFont="1" applyFill="1" applyBorder="1" applyAlignment="1" applyProtection="1">
      <alignment horizontal="left" wrapText="1"/>
      <protection/>
    </xf>
    <xf numFmtId="0" fontId="24" fillId="0" borderId="14" xfId="90" applyFont="1" applyFill="1" applyBorder="1" applyAlignment="1" applyProtection="1">
      <alignment horizontal="center" vertical="center"/>
      <protection/>
    </xf>
    <xf numFmtId="4" fontId="24" fillId="0" borderId="14" xfId="90" applyNumberFormat="1" applyFont="1" applyFill="1" applyBorder="1" applyAlignment="1" applyProtection="1">
      <alignment horizontal="center" vertical="center" wrapText="1"/>
      <protection/>
    </xf>
    <xf numFmtId="0" fontId="0" fillId="0" borderId="14" xfId="0" applyFont="1" applyBorder="1" applyAlignment="1">
      <alignment horizontal="center"/>
    </xf>
    <xf numFmtId="0" fontId="24" fillId="0" borderId="32" xfId="0" applyFont="1" applyFill="1" applyBorder="1" applyAlignment="1" applyProtection="1">
      <alignment horizontal="left" wrapText="1"/>
      <protection/>
    </xf>
    <xf numFmtId="0" fontId="24" fillId="0" borderId="10" xfId="0" applyFont="1" applyFill="1" applyBorder="1" applyAlignment="1" applyProtection="1">
      <alignment horizontal="left" wrapText="1"/>
      <protection/>
    </xf>
    <xf numFmtId="0" fontId="24" fillId="0" borderId="19" xfId="0" applyFont="1" applyFill="1" applyBorder="1" applyAlignment="1" applyProtection="1">
      <alignment horizontal="left" wrapText="1"/>
      <protection/>
    </xf>
    <xf numFmtId="0" fontId="28" fillId="22" borderId="11" xfId="0" applyFont="1" applyFill="1" applyBorder="1" applyAlignment="1" applyProtection="1">
      <alignment horizontal="left" wrapText="1"/>
      <protection locked="0"/>
    </xf>
    <xf numFmtId="0" fontId="28" fillId="22" borderId="0" xfId="0" applyFont="1" applyFill="1" applyBorder="1" applyAlignment="1" applyProtection="1">
      <alignment horizontal="left" wrapText="1"/>
      <protection locked="0"/>
    </xf>
    <xf numFmtId="0" fontId="28" fillId="22" borderId="12" xfId="0" applyFont="1" applyFill="1" applyBorder="1" applyAlignment="1" applyProtection="1">
      <alignment horizontal="left" wrapText="1"/>
      <protection locked="0"/>
    </xf>
    <xf numFmtId="0" fontId="28" fillId="22" borderId="18" xfId="0" applyFont="1" applyFill="1" applyBorder="1" applyAlignment="1" applyProtection="1">
      <alignment horizontal="left" wrapText="1"/>
      <protection locked="0"/>
    </xf>
    <xf numFmtId="0" fontId="28" fillId="22" borderId="13" xfId="0" applyFont="1" applyFill="1" applyBorder="1" applyAlignment="1" applyProtection="1">
      <alignment horizontal="left" wrapText="1"/>
      <protection locked="0"/>
    </xf>
    <xf numFmtId="0" fontId="28" fillId="22" borderId="38" xfId="0" applyFont="1" applyFill="1" applyBorder="1" applyAlignment="1" applyProtection="1">
      <alignment horizontal="left" wrapText="1"/>
      <protection locked="0"/>
    </xf>
    <xf numFmtId="0" fontId="28" fillId="0" borderId="32" xfId="0" applyFont="1" applyBorder="1" applyAlignment="1" applyProtection="1">
      <alignment horizontal="left" vertical="center"/>
      <protection locked="0"/>
    </xf>
    <xf numFmtId="0" fontId="28" fillId="0" borderId="10" xfId="0" applyFont="1" applyBorder="1" applyAlignment="1" applyProtection="1">
      <alignment horizontal="left" vertical="center"/>
      <protection locked="0"/>
    </xf>
    <xf numFmtId="0" fontId="28" fillId="0" borderId="19" xfId="0" applyFont="1" applyBorder="1" applyAlignment="1" applyProtection="1">
      <alignment horizontal="left" vertical="center"/>
      <protection locked="0"/>
    </xf>
    <xf numFmtId="170" fontId="0" fillId="0" borderId="0" xfId="0" applyNumberFormat="1" applyFont="1" applyBorder="1" applyAlignment="1" applyProtection="1">
      <alignment horizontal="left"/>
      <protection locked="0"/>
    </xf>
    <xf numFmtId="171" fontId="0" fillId="0" borderId="13" xfId="0" applyNumberFormat="1" applyFont="1" applyBorder="1" applyAlignment="1" applyProtection="1">
      <alignment horizontal="left"/>
      <protection locked="0"/>
    </xf>
    <xf numFmtId="171" fontId="0" fillId="0" borderId="13" xfId="0" applyNumberFormat="1" applyFont="1" applyBorder="1" applyAlignment="1" applyProtection="1">
      <alignment horizontal="left"/>
      <protection/>
    </xf>
    <xf numFmtId="170" fontId="0" fillId="0" borderId="13" xfId="0" applyNumberFormat="1" applyFont="1" applyBorder="1" applyAlignment="1" applyProtection="1">
      <alignment horizontal="left"/>
      <protection/>
    </xf>
    <xf numFmtId="168" fontId="0" fillId="0" borderId="0" xfId="0" applyNumberFormat="1" applyFont="1" applyFill="1" applyBorder="1" applyAlignment="1" applyProtection="1">
      <alignment horizontal="left"/>
      <protection/>
    </xf>
    <xf numFmtId="0" fontId="28" fillId="7" borderId="36" xfId="0" applyFont="1" applyFill="1" applyBorder="1" applyAlignment="1" applyProtection="1">
      <alignment horizontal="center" vertical="center" shrinkToFit="1"/>
      <protection/>
    </xf>
    <xf numFmtId="0" fontId="28" fillId="7" borderId="11" xfId="0" applyFont="1" applyFill="1" applyBorder="1" applyAlignment="1" applyProtection="1">
      <alignment horizontal="center" vertical="center" shrinkToFit="1"/>
      <protection/>
    </xf>
    <xf numFmtId="0" fontId="28" fillId="7" borderId="37" xfId="0" applyFont="1" applyFill="1" applyBorder="1" applyAlignment="1" applyProtection="1">
      <alignment horizontal="center" vertical="center" wrapText="1"/>
      <protection/>
    </xf>
    <xf numFmtId="0" fontId="28" fillId="7" borderId="12" xfId="0" applyFont="1" applyFill="1" applyBorder="1" applyAlignment="1" applyProtection="1">
      <alignment horizontal="center" vertical="center" wrapText="1"/>
      <protection/>
    </xf>
    <xf numFmtId="4" fontId="28" fillId="7" borderId="28" xfId="0" applyNumberFormat="1" applyFont="1" applyFill="1" applyBorder="1" applyAlignment="1" applyProtection="1">
      <alignment horizontal="center" vertical="center"/>
      <protection/>
    </xf>
    <xf numFmtId="4" fontId="28" fillId="7" borderId="15" xfId="0" applyNumberFormat="1" applyFont="1" applyFill="1" applyBorder="1" applyAlignment="1" applyProtection="1">
      <alignment horizontal="center" vertical="center"/>
      <protection/>
    </xf>
    <xf numFmtId="0" fontId="28" fillId="0" borderId="0" xfId="0" applyFont="1" applyAlignment="1" applyProtection="1">
      <alignment horizontal="center" vertical="top" wrapText="1"/>
      <protection/>
    </xf>
    <xf numFmtId="49" fontId="0"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171" fontId="0" fillId="0" borderId="13" xfId="0" applyNumberFormat="1" applyFont="1" applyFill="1" applyBorder="1" applyAlignment="1" applyProtection="1">
      <alignment horizontal="left" vertical="center"/>
      <protection/>
    </xf>
    <xf numFmtId="170" fontId="0" fillId="0" borderId="13" xfId="0" applyNumberFormat="1" applyFont="1" applyBorder="1" applyAlignment="1" applyProtection="1">
      <alignment horizontal="left" vertical="center"/>
      <protection/>
    </xf>
    <xf numFmtId="0" fontId="24" fillId="24" borderId="21" xfId="0" applyFont="1" applyFill="1" applyBorder="1" applyAlignment="1" applyProtection="1">
      <alignment horizontal="center" vertical="center" wrapText="1"/>
      <protection/>
    </xf>
    <xf numFmtId="0" fontId="24" fillId="24" borderId="40" xfId="0" applyFont="1" applyFill="1" applyBorder="1" applyAlignment="1" applyProtection="1">
      <alignment horizontal="center" vertical="center" wrapText="1"/>
      <protection/>
    </xf>
    <xf numFmtId="0" fontId="24" fillId="24" borderId="11" xfId="0" applyFont="1" applyFill="1" applyBorder="1" applyAlignment="1" applyProtection="1">
      <alignment horizontal="center" vertical="center" wrapText="1"/>
      <protection/>
    </xf>
    <xf numFmtId="0" fontId="24" fillId="24" borderId="12" xfId="0" applyFont="1" applyFill="1" applyBorder="1" applyAlignment="1" applyProtection="1">
      <alignment horizontal="center" vertical="center" wrapText="1"/>
      <protection/>
    </xf>
    <xf numFmtId="0" fontId="24" fillId="24" borderId="18" xfId="0" applyFont="1" applyFill="1" applyBorder="1" applyAlignment="1" applyProtection="1">
      <alignment horizontal="center" vertical="center" wrapText="1"/>
      <protection/>
    </xf>
    <xf numFmtId="0" fontId="24" fillId="24" borderId="38" xfId="0" applyFont="1" applyFill="1" applyBorder="1" applyAlignment="1" applyProtection="1">
      <alignment horizontal="center" vertical="center" wrapText="1"/>
      <protection/>
    </xf>
    <xf numFmtId="4" fontId="24" fillId="24" borderId="30" xfId="0" applyNumberFormat="1" applyFont="1" applyFill="1" applyBorder="1" applyAlignment="1" applyProtection="1">
      <alignment horizontal="center" vertical="center" shrinkToFit="1"/>
      <protection/>
    </xf>
    <xf numFmtId="4" fontId="24" fillId="24" borderId="15" xfId="0" applyNumberFormat="1" applyFont="1" applyFill="1" applyBorder="1" applyAlignment="1" applyProtection="1">
      <alignment horizontal="center" vertical="center" shrinkToFit="1"/>
      <protection/>
    </xf>
    <xf numFmtId="4" fontId="24" fillId="24" borderId="16" xfId="0" applyNumberFormat="1" applyFont="1" applyFill="1" applyBorder="1" applyAlignment="1" applyProtection="1">
      <alignment horizontal="center" vertical="center" shrinkToFit="1"/>
      <protection/>
    </xf>
  </cellXfs>
  <cellStyles count="95">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Ênfase1" xfId="26"/>
    <cellStyle name="20% - Ênfase2" xfId="27"/>
    <cellStyle name="20% - Ênfase3" xfId="28"/>
    <cellStyle name="20% - Ênfase4" xfId="29"/>
    <cellStyle name="20% - Ênfase5" xfId="30"/>
    <cellStyle name="20% - Ênfase6" xfId="31"/>
    <cellStyle name="40% - Accent1" xfId="32"/>
    <cellStyle name="40% - Accent2" xfId="33"/>
    <cellStyle name="40% - Accent3" xfId="34"/>
    <cellStyle name="40% - Accent4" xfId="35"/>
    <cellStyle name="40% - Accent5" xfId="36"/>
    <cellStyle name="40% - Accent6" xfId="37"/>
    <cellStyle name="40% - Ênfase1" xfId="38"/>
    <cellStyle name="40% - Ênfase2" xfId="39"/>
    <cellStyle name="40% - Ênfase3" xfId="40"/>
    <cellStyle name="40% - Ênfase4" xfId="41"/>
    <cellStyle name="40% - Ênfase5" xfId="42"/>
    <cellStyle name="40% - Ênfase6" xfId="43"/>
    <cellStyle name="60% - Accent1" xfId="44"/>
    <cellStyle name="60% - Accent2" xfId="45"/>
    <cellStyle name="60% - Accent3" xfId="46"/>
    <cellStyle name="60% - Accent4" xfId="47"/>
    <cellStyle name="60% - Accent5" xfId="48"/>
    <cellStyle name="60% - Accent6" xfId="49"/>
    <cellStyle name="60% - Ênfase1" xfId="50"/>
    <cellStyle name="60% - Ênfase2" xfId="51"/>
    <cellStyle name="60% - Ênfase3" xfId="52"/>
    <cellStyle name="60% - Ênfase4" xfId="53"/>
    <cellStyle name="60% - Ênfase5" xfId="54"/>
    <cellStyle name="60% - Ênfase6" xfId="55"/>
    <cellStyle name="Accent1" xfId="56"/>
    <cellStyle name="Accent2" xfId="57"/>
    <cellStyle name="Accent3" xfId="58"/>
    <cellStyle name="Accent4" xfId="59"/>
    <cellStyle name="Accent5" xfId="60"/>
    <cellStyle name="Accent6" xfId="61"/>
    <cellStyle name="Bad" xfId="62"/>
    <cellStyle name="Bom" xfId="63"/>
    <cellStyle name="Calculation" xfId="64"/>
    <cellStyle name="Cálculo" xfId="65"/>
    <cellStyle name="Célula de Verificação" xfId="66"/>
    <cellStyle name="Célula Vinculada" xfId="67"/>
    <cellStyle name="Check Cell" xfId="68"/>
    <cellStyle name="Ênfase1" xfId="69"/>
    <cellStyle name="Ênfase2" xfId="70"/>
    <cellStyle name="Ênfase3" xfId="71"/>
    <cellStyle name="Ênfase4" xfId="72"/>
    <cellStyle name="Ênfase5" xfId="73"/>
    <cellStyle name="Ênfase6" xfId="74"/>
    <cellStyle name="Entrada" xfId="75"/>
    <cellStyle name="Excel Built-in Normal" xfId="76"/>
    <cellStyle name="Explanatory Text" xfId="77"/>
    <cellStyle name="Good" xfId="78"/>
    <cellStyle name="Heading 1" xfId="79"/>
    <cellStyle name="Heading 2" xfId="80"/>
    <cellStyle name="Heading 3" xfId="81"/>
    <cellStyle name="Heading 4" xfId="82"/>
    <cellStyle name="Ruim" xfId="83"/>
    <cellStyle name="Input" xfId="84"/>
    <cellStyle name="Linked Cell" xfId="85"/>
    <cellStyle name="Moeda 2" xfId="86"/>
    <cellStyle name="Moeda_Composicao BDI v2.1" xfId="87"/>
    <cellStyle name="Neutro" xfId="88"/>
    <cellStyle name="Neutral" xfId="89"/>
    <cellStyle name="Normal 2" xfId="90"/>
    <cellStyle name="Normal_FICHA DE VERIFICAÇÃO PRELIMINAR - Plano R" xfId="91"/>
    <cellStyle name="Nota" xfId="92"/>
    <cellStyle name="Note" xfId="93"/>
    <cellStyle name="Output" xfId="94"/>
    <cellStyle name="Porcentagem" xfId="95"/>
    <cellStyle name="Saída" xfId="96"/>
    <cellStyle name="Texto de Aviso" xfId="97"/>
    <cellStyle name="Texto Explicativo" xfId="98"/>
    <cellStyle name="Title" xfId="99"/>
    <cellStyle name="Título" xfId="100"/>
    <cellStyle name="Título 1" xfId="101"/>
    <cellStyle name="Título 2" xfId="102"/>
    <cellStyle name="Título 3" xfId="103"/>
    <cellStyle name="Título 4" xfId="104"/>
    <cellStyle name="Total" xfId="105"/>
    <cellStyle name="Vírgula" xfId="106"/>
    <cellStyle name="Warning Text" xfId="107"/>
    <cellStyle name="Normal 2 2 2" xfId="108"/>
  </cellStyles>
  <dxfs count="541">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border>
        <bottom style="thin"/>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font>
        <b/>
        <i val="0"/>
      </font>
      <fill>
        <patternFill>
          <bgColor indexed="55"/>
        </patternFill>
      </fill>
      <border>
        <top style="thin"/>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border>
        <bottom style="thin"/>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condense val="0"/>
        <extend val="0"/>
      </font>
      <border>
        <top style="thin"/>
      </border>
    </dxf>
    <dxf>
      <fill>
        <patternFill>
          <bgColor indexed="55"/>
        </patternFill>
      </fill>
      <border/>
    </dxf>
    <dxf>
      <font>
        <color indexed="9"/>
        <condense val="0"/>
        <extend val="0"/>
      </font>
      <fill>
        <patternFill patternType="none"/>
      </fill>
      <border>
        <top/>
      </border>
    </dxf>
    <dxf>
      <border>
        <bottom style="thin"/>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font>
        <condense val="0"/>
        <extend val="0"/>
      </font>
      <border>
        <top style="thin"/>
      </border>
    </dxf>
    <dxf>
      <fill>
        <patternFill>
          <bgColor indexed="55"/>
        </patternFill>
      </fill>
      <border/>
    </dxf>
    <dxf>
      <font>
        <color indexed="9"/>
        <condense val="0"/>
        <extend val="0"/>
      </font>
      <fill>
        <patternFill patternType="none"/>
      </fill>
      <border>
        <top/>
      </border>
    </dxf>
    <dxf>
      <font>
        <b/>
        <i val="0"/>
      </font>
      <fill>
        <patternFill>
          <bgColor indexed="55"/>
        </patternFill>
      </fill>
      <border>
        <top style="thin"/>
      </border>
    </dxf>
    <dxf>
      <font>
        <color indexed="9"/>
        <condense val="0"/>
        <extend val="0"/>
      </font>
      <fill>
        <patternFill patternType="none"/>
      </fill>
      <border>
        <left/>
        <right/>
        <top/>
        <bottom/>
      </border>
    </dxf>
    <dxf>
      <font>
        <b/>
        <i val="0"/>
        <color indexed="9"/>
        <condense val="0"/>
        <extend val="0"/>
      </font>
      <fill>
        <patternFill>
          <bgColor indexed="10"/>
        </patternFill>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color indexed="9"/>
        <condense val="0"/>
        <extend val="0"/>
      </font>
      <fill>
        <patternFill patternType="none"/>
      </fill>
      <border/>
    </dxf>
    <dxf>
      <font>
        <color indexed="9"/>
        <condense val="0"/>
        <extend val="0"/>
      </font>
      <fill>
        <patternFill patternType="none"/>
      </fill>
      <border/>
    </dxf>
    <dxf>
      <font>
        <b/>
        <i val="0"/>
        <color indexed="9"/>
        <condense val="0"/>
        <extend val="0"/>
      </font>
      <fill>
        <patternFill>
          <bgColor indexed="10"/>
        </patternFill>
      </fill>
      <border/>
    </dxf>
    <dxf>
      <font>
        <color indexed="9"/>
        <condense val="0"/>
        <extend val="0"/>
      </font>
      <fill>
        <patternFill patternType="none"/>
      </fill>
      <border/>
    </dxf>
    <dxf>
      <font>
        <b/>
        <i val="0"/>
        <color indexed="9"/>
        <condense val="0"/>
        <extend val="0"/>
      </font>
      <fill>
        <patternFill>
          <bgColor indexed="10"/>
        </patternFill>
      </fill>
      <border/>
    </dxf>
    <dxf>
      <font>
        <color indexed="9"/>
      </font>
      <fill>
        <patternFill>
          <bgColor indexed="9"/>
        </patternFill>
      </fill>
      <border/>
    </dxf>
    <dxf>
      <border>
        <top style="thin"/>
      </border>
    </dxf>
    <dxf>
      <fill>
        <patternFill>
          <bgColor indexed="55"/>
        </patternFill>
      </fill>
      <border/>
    </dxf>
    <dxf>
      <font>
        <b/>
        <i val="0"/>
      </font>
      <fill>
        <patternFill>
          <bgColor indexed="55"/>
        </patternFill>
      </fill>
      <border>
        <top style="thin"/>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ont>
        <color indexed="47"/>
        <condense val="0"/>
        <extend val="0"/>
      </font>
      <fill>
        <patternFill>
          <bgColor indexed="47"/>
        </patternFill>
      </fill>
      <border/>
    </dxf>
    <dxf>
      <fill>
        <patternFill patternType="none"/>
      </fill>
      <border/>
    </dxf>
    <dxf>
      <font>
        <color indexed="47"/>
        <condense val="0"/>
        <extend val="0"/>
      </font>
      <fill>
        <patternFill>
          <bgColor indexed="47"/>
        </patternFill>
      </fill>
      <border/>
    </dxf>
    <dxf>
      <font>
        <b/>
        <i val="0"/>
        <color indexed="55"/>
        <condense val="0"/>
        <extend val="0"/>
      </font>
      <fill>
        <patternFill>
          <bgColor indexed="55"/>
        </patternFill>
      </fill>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dxf>
    <dxf>
      <font>
        <b/>
        <i val="0"/>
      </font>
      <fill>
        <patternFill>
          <bgColor indexed="47"/>
        </patternFill>
      </fill>
      <border/>
    </dxf>
    <dxf>
      <font>
        <b/>
        <i val="0"/>
      </font>
      <fill>
        <patternFill>
          <bgColor indexed="55"/>
        </patternFill>
      </fill>
      <border/>
    </dxf>
    <dxf>
      <font>
        <b/>
        <i val="0"/>
        <color indexed="47"/>
        <condense val="0"/>
        <extend val="0"/>
      </font>
      <fill>
        <patternFill>
          <bgColor indexed="47"/>
        </patternFill>
      </fill>
      <border/>
    </dxf>
    <dxf>
      <font>
        <b/>
        <i val="0"/>
        <color indexed="55"/>
        <condense val="0"/>
        <extend val="0"/>
      </font>
      <fill>
        <patternFill>
          <bgColor indexed="55"/>
        </patternFill>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ont>
        <condense val="0"/>
        <extend val="0"/>
      </font>
      <fill>
        <patternFill patternType="none"/>
      </fill>
      <border/>
    </dxf>
    <dxf>
      <font>
        <b/>
        <i val="0"/>
      </font>
      <fill>
        <patternFill>
          <bgColor indexed="47"/>
        </patternFill>
      </fill>
      <border/>
    </dxf>
    <dxf>
      <font>
        <b/>
        <i val="0"/>
        <u val="single"/>
        <color auto="1"/>
        <condense val="0"/>
        <extend val="0"/>
      </font>
      <fill>
        <patternFill>
          <bgColor indexed="55"/>
        </patternFill>
      </fill>
      <border>
        <top style="thin"/>
      </border>
    </dxf>
    <dxf>
      <font>
        <condense val="0"/>
        <extend val="0"/>
      </font>
      <fill>
        <patternFill patternType="none"/>
      </fill>
      <border/>
    </dxf>
    <dxf>
      <font>
        <b/>
        <i val="0"/>
      </font>
      <fill>
        <patternFill>
          <bgColor indexed="47"/>
        </patternFill>
      </fill>
      <border/>
    </dxf>
    <dxf>
      <font>
        <b/>
        <i val="0"/>
        <u val="single"/>
        <color auto="1"/>
        <condense val="0"/>
        <extend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patternType="none"/>
      </fill>
      <border/>
    </dxf>
    <dxf>
      <fill>
        <patternFill>
          <bgColor indexed="43"/>
        </patternFill>
      </fill>
      <border/>
    </dxf>
    <dxf>
      <font>
        <color indexed="9"/>
        <condense val="0"/>
        <extend val="0"/>
      </font>
      <fill>
        <patternFill patternType="none"/>
      </fill>
      <border>
        <left/>
        <right/>
        <top/>
        <bottom/>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ont>
        <b/>
        <i val="0"/>
      </font>
      <fill>
        <patternFill>
          <bgColor indexed="47"/>
        </patternFill>
      </fill>
      <border/>
    </dxf>
    <dxf>
      <font>
        <b/>
        <i val="0"/>
      </font>
      <fill>
        <patternFill>
          <bgColor indexed="55"/>
        </patternFill>
      </fill>
      <border>
        <top style="thin"/>
      </border>
    </dxf>
    <dxf>
      <font>
        <b val="0"/>
        <i val="0"/>
        <color auto="1"/>
        <condense val="0"/>
        <extend val="0"/>
      </font>
      <fill>
        <patternFill patternType="none"/>
      </fill>
      <border/>
    </dxf>
    <dxf>
      <font>
        <b val="0"/>
        <i val="0"/>
        <name val="Cambria"/>
        <color indexed="47"/>
      </font>
      <fill>
        <patternFill>
          <bgColor indexed="47"/>
        </patternFill>
      </fill>
      <border/>
    </dxf>
    <dxf>
      <font>
        <b val="0"/>
        <i val="0"/>
        <name val="Cambria"/>
        <color indexed="55"/>
        <condense val="0"/>
        <extend val="0"/>
      </font>
      <fill>
        <patternFill>
          <bgColor indexed="55"/>
        </patternFill>
      </fill>
      <border>
        <top style="thin"/>
      </border>
    </dxf>
    <dxf>
      <fill>
        <patternFill>
          <bgColor theme="0"/>
        </patternFill>
      </fill>
      <border/>
    </dxf>
    <dxf>
      <font>
        <b/>
        <i val="0"/>
        <name val="Cambria"/>
        <color indexed="47"/>
      </font>
      <fill>
        <patternFill>
          <bgColor indexed="47"/>
        </patternFill>
      </fill>
      <border/>
    </dxf>
    <dxf>
      <font>
        <b/>
        <i val="0"/>
        <name val="Cambria"/>
        <color indexed="55"/>
        <condense val="0"/>
        <extend val="0"/>
      </font>
      <fill>
        <patternFill>
          <bgColor indexed="55"/>
        </patternFill>
      </fill>
      <border>
        <top style="thin"/>
      </border>
    </dxf>
    <dxf>
      <font>
        <color indexed="47"/>
        <condense val="0"/>
        <extend val="0"/>
      </font>
      <fill>
        <patternFill>
          <bgColor indexed="47"/>
        </patternFill>
      </fill>
      <border/>
    </dxf>
    <dxf>
      <font>
        <b/>
        <i val="0"/>
      </font>
      <fill>
        <patternFill>
          <bgColor indexed="47"/>
        </patternFill>
      </fill>
      <border/>
    </dxf>
    <dxf>
      <font>
        <b/>
        <i val="0"/>
      </font>
      <fill>
        <patternFill>
          <bgColor indexed="55"/>
        </patternFill>
      </fill>
      <border>
        <top style="thin"/>
      </border>
    </dxf>
    <dxf>
      <font>
        <b/>
        <i val="0"/>
      </font>
      <fill>
        <patternFill>
          <bgColor rgb="FFC0C0C0"/>
        </patternFill>
      </fill>
      <border/>
    </dxf>
    <dxf>
      <font>
        <b/>
        <i val="0"/>
      </font>
      <fill>
        <patternFill>
          <bgColor rgb="FF969696"/>
        </patternFill>
      </fill>
      <border/>
    </dxf>
    <dxf>
      <font>
        <color theme="1"/>
      </font>
      <border/>
    </dxf>
    <dxf>
      <font>
        <b/>
        <i val="0"/>
      </font>
      <fill>
        <patternFill>
          <bgColor rgb="FFC0C0C0"/>
        </patternFill>
      </fill>
      <border/>
    </dxf>
    <dxf>
      <font>
        <b/>
        <i val="0"/>
      </font>
      <fill>
        <patternFill>
          <bgColor rgb="FF969696"/>
        </patternFill>
      </fill>
      <border/>
    </dxf>
    <dxf>
      <font>
        <color theme="0"/>
      </font>
      <fill>
        <patternFill patternType="none"/>
      </fill>
      <border/>
    </dxf>
    <dxf>
      <font>
        <color theme="0"/>
      </font>
      <fill>
        <patternFill>
          <bgColor theme="0"/>
        </patternFill>
      </fill>
      <border>
        <left/>
        <right/>
        <top/>
        <bottom/>
      </border>
    </dxf>
    <dxf>
      <fill>
        <patternFill>
          <bgColor rgb="FFFFFF9E"/>
        </patternFill>
      </fill>
      <border/>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border/>
    </dxf>
    <dxf>
      <font>
        <color indexed="17"/>
        <condense val="0"/>
        <extend val="0"/>
      </font>
      <border>
        <left style="thin"/>
        <right style="thin"/>
        <top style="thin"/>
        <bottom style="thin"/>
      </border>
    </dxf>
    <dxf>
      <font>
        <color indexed="10"/>
        <condense val="0"/>
        <extend val="0"/>
      </font>
      <border>
        <left style="thin"/>
        <right style="thin"/>
        <top style="thin"/>
        <bottom style="thin"/>
      </border>
    </dxf>
    <dxf>
      <fill>
        <patternFill>
          <bgColor rgb="FFFFFF9E"/>
        </patternFill>
      </fill>
      <border/>
    </dxf>
    <dxf>
      <font>
        <color theme="0"/>
      </font>
      <fill>
        <patternFill patternType="none"/>
      </fill>
      <border/>
    </dxf>
    <dxf>
      <font>
        <color theme="0"/>
      </font>
      <fill>
        <patternFill>
          <bgColor theme="0"/>
        </patternFill>
      </fill>
      <border>
        <left/>
        <right/>
        <top/>
        <bottom/>
      </border>
    </dxf>
    <dxf>
      <fill>
        <patternFill>
          <bgColor rgb="FFFFFF9E"/>
        </patternFill>
      </fill>
      <border/>
    </dxf>
    <dxf>
      <border>
        <left style="thin"/>
        <right style="thin"/>
        <top style="thin"/>
        <bottom style="thin"/>
      </border>
    </dxf>
    <dxf>
      <font>
        <b/>
        <i val="0"/>
        <color theme="1"/>
      </font>
      <fill>
        <patternFill>
          <bgColor theme="0" tint="-0.149959996342659"/>
        </patternFill>
      </fill>
      <border>
        <left style="thin"/>
        <right style="thin"/>
        <top style="thin"/>
        <bottom style="thin"/>
      </border>
    </dxf>
    <dxf>
      <font>
        <b/>
        <i val="0"/>
      </font>
      <fill>
        <patternFill>
          <bgColor theme="0" tint="-0.149959996342659"/>
        </patternFill>
      </fill>
      <border/>
    </dxf>
    <dxf>
      <font>
        <color indexed="17"/>
        <condense val="0"/>
        <extend val="0"/>
      </font>
      <border>
        <left style="thin"/>
        <right style="thin"/>
        <top style="thin"/>
        <bottom style="thin"/>
      </border>
    </dxf>
    <dxf>
      <font>
        <color indexed="10"/>
        <condense val="0"/>
        <extend val="0"/>
      </font>
      <border>
        <left style="thin"/>
        <right style="thin"/>
        <top style="thin"/>
        <bottom style="thin"/>
      </border>
    </dxf>
    <dxf>
      <fill>
        <patternFill>
          <bgColor rgb="FFFFFF9E"/>
        </patternFill>
      </fill>
      <border/>
    </dxf>
    <dxf>
      <fill>
        <patternFill patternType="none"/>
      </fill>
      <border/>
    </dxf>
    <dxf>
      <fill>
        <patternFill patternType="none"/>
      </fill>
      <border/>
    </dxf>
    <dxf>
      <font>
        <color indexed="9"/>
        <condense val="0"/>
        <extend val="0"/>
      </font>
      <fill>
        <patternFill patternType="none"/>
      </fill>
      <border>
        <left/>
        <right/>
        <top/>
        <bottom/>
      </border>
    </dxf>
    <dxf>
      <fill>
        <patternFill patternType="none"/>
      </fill>
      <border/>
    </dxf>
    <dxf>
      <font>
        <color indexed="9"/>
        <condense val="0"/>
        <extend val="0"/>
      </font>
      <fill>
        <patternFill patternType="none"/>
      </fill>
      <border>
        <left/>
        <right/>
        <top/>
        <bottom/>
      </border>
    </dxf>
    <dxf>
      <font>
        <color indexed="9"/>
        <condense val="0"/>
        <extend val="0"/>
      </font>
      <fill>
        <patternFill>
          <bgColor indexed="9"/>
        </patternFill>
      </fill>
      <border>
        <left/>
        <right/>
        <top/>
        <bottom/>
      </border>
    </dxf>
    <dxf>
      <fill>
        <patternFill patternType="none"/>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CheckBox" checked="Checked" fmlaLink="$X$3" noThreeD="1"/>
</file>

<file path=xl/ctrlProps/ctrlProp4.xml><?xml version="1.0" encoding="utf-8"?>
<formControlPr xmlns="http://schemas.microsoft.com/office/spreadsheetml/2009/9/main" objectType="CheckBox" checked="Checked" fmlaLink="$X$4" noThreeD="1"/>
</file>

<file path=xl/ctrlProps/ctrlProp5.xml><?xml version="1.0" encoding="utf-8"?>
<formControlPr xmlns="http://schemas.microsoft.com/office/spreadsheetml/2009/9/main" objectType="CheckBox" checked="Checked" fmlaLink="$X$5" noThreeD="1"/>
</file>

<file path=xl/ctrlProps/ctrlProp6.xml><?xml version="1.0" encoding="utf-8"?>
<formControlPr xmlns="http://schemas.microsoft.com/office/spreadsheetml/2009/9/main" objectType="CheckBox" checked="Checked" fmlaLink="$X$6" noThreeD="1"/>
</file>

<file path=xl/ctrlProps/ctrlProp7.xml><?xml version="1.0" encoding="utf-8"?>
<formControlPr xmlns="http://schemas.microsoft.com/office/spreadsheetml/2009/9/main" objectType="CheckBox" checked="Checked" fmlaLink="$X$7" noThreeD="1"/>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5.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5.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 Id="rId3" Type="http://schemas.openxmlformats.org/officeDocument/2006/relationships/image" Target="../media/image25.emf" /></Relationships>
</file>

<file path=xl/drawings/_rels/drawing5.x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1.emf" /><Relationship Id="rId3" Type="http://schemas.openxmlformats.org/officeDocument/2006/relationships/image" Target="../media/image4.emf" /><Relationship Id="rId5" Type="http://schemas.openxmlformats.org/officeDocument/2006/relationships/image" Target="../media/image6.emf" /><Relationship Id="rId6" Type="http://schemas.openxmlformats.org/officeDocument/2006/relationships/image" Target="../media/image25.emf" /></Relationships>
</file>

<file path=xl/drawings/_rels/drawing6.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14.emf" /><Relationship Id="rId3" Type="http://schemas.openxmlformats.org/officeDocument/2006/relationships/image" Target="../media/image15.emf" /><Relationship Id="rId4" Type="http://schemas.openxmlformats.org/officeDocument/2006/relationships/image" Target="../media/image4.emf" /><Relationship Id="rId5" Type="http://schemas.openxmlformats.org/officeDocument/2006/relationships/image" Target="../media/image11.emf" /><Relationship Id="rId6" Type="http://schemas.openxmlformats.org/officeDocument/2006/relationships/image" Target="../media/image16.emf" /><Relationship Id="rId7" Type="http://schemas.openxmlformats.org/officeDocument/2006/relationships/image" Target="../media/image2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5.emf" /><Relationship Id="rId3" Type="http://schemas.openxmlformats.org/officeDocument/2006/relationships/image" Target="../media/image28.emf" /><Relationship Id="rId4" Type="http://schemas.openxmlformats.org/officeDocument/2006/relationships/image" Target="../media/image28.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5.emf" /><Relationship Id="rId3" Type="http://schemas.openxmlformats.org/officeDocument/2006/relationships/image" Target="../media/image22.emf" /><Relationship Id="rId4" Type="http://schemas.openxmlformats.org/officeDocument/2006/relationships/image" Target="../media/image22.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9.emf" /><Relationship Id="rId3" Type="http://schemas.openxmlformats.org/officeDocument/2006/relationships/image" Target="../media/image25.emf" /><Relationship Id="rId4" Type="http://schemas.openxmlformats.org/officeDocument/2006/relationships/image" Target="../media/image2.emf" /><Relationship Id="rId5" Type="http://schemas.openxmlformats.org/officeDocument/2006/relationships/image" Target="../media/image27.emf" /><Relationship Id="rId6" Type="http://schemas.openxmlformats.org/officeDocument/2006/relationships/image" Target="../media/image2.emf" /><Relationship Id="rId7" Type="http://schemas.openxmlformats.org/officeDocument/2006/relationships/image" Target="../media/image27.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5.emf" /><Relationship Id="rId4" Type="http://schemas.openxmlformats.org/officeDocument/2006/relationships/image" Target="../media/image8.emf" /><Relationship Id="rId5" Type="http://schemas.openxmlformats.org/officeDocument/2006/relationships/image" Target="../media/image25.emf" /><Relationship Id="rId6" Type="http://schemas.openxmlformats.org/officeDocument/2006/relationships/image" Target="../media/image26.emf" /><Relationship Id="rId7" Type="http://schemas.openxmlformats.org/officeDocument/2006/relationships/image" Target="../media/image23.emf" /><Relationship Id="rId8" Type="http://schemas.openxmlformats.org/officeDocument/2006/relationships/image" Target="../media/image22.emf" /><Relationship Id="rId9" Type="http://schemas.openxmlformats.org/officeDocument/2006/relationships/image" Target="../media/image2.emf" /><Relationship Id="rId10" Type="http://schemas.openxmlformats.org/officeDocument/2006/relationships/image" Target="../media/image26.emf" /><Relationship Id="rId11" Type="http://schemas.openxmlformats.org/officeDocument/2006/relationships/image" Target="../media/image26.emf" /><Relationship Id="rId12" Type="http://schemas.openxmlformats.org/officeDocument/2006/relationships/image" Target="../media/image23.emf" /><Relationship Id="rId13" Type="http://schemas.openxmlformats.org/officeDocument/2006/relationships/image" Target="../media/image22.emf" /><Relationship Id="rId14" Type="http://schemas.openxmlformats.org/officeDocument/2006/relationships/image" Target="../media/image23.emf" /><Relationship Id="rId15" Type="http://schemas.openxmlformats.org/officeDocument/2006/relationships/image" Target="../media/image22.emf" /><Relationship Id="rId16" Type="http://schemas.openxmlformats.org/officeDocument/2006/relationships/image" Target="../media/image2.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5.emf" /><Relationship Id="rId5" Type="http://schemas.openxmlformats.org/officeDocument/2006/relationships/image" Target="../media/image13.emf" /><Relationship Id="rId6" Type="http://schemas.openxmlformats.org/officeDocument/2006/relationships/image" Target="../media/image19.emf" /><Relationship Id="rId7" Type="http://schemas.openxmlformats.org/officeDocument/2006/relationships/image" Target="../media/image25.emf" /><Relationship Id="rId8" Type="http://schemas.openxmlformats.org/officeDocument/2006/relationships/image" Target="../media/image2.emf" /><Relationship Id="rId9" Type="http://schemas.openxmlformats.org/officeDocument/2006/relationships/image" Target="../media/image20.emf" /><Relationship Id="rId10" Type="http://schemas.openxmlformats.org/officeDocument/2006/relationships/image" Target="../media/image21.emf" /><Relationship Id="rId11" Type="http://schemas.openxmlformats.org/officeDocument/2006/relationships/image" Target="../media/image22.emf" /><Relationship Id="rId12" Type="http://schemas.openxmlformats.org/officeDocument/2006/relationships/image" Target="../media/image23.emf" /><Relationship Id="rId13" Type="http://schemas.openxmlformats.org/officeDocument/2006/relationships/image" Target="../media/image24.emf" /><Relationship Id="rId14" Type="http://schemas.openxmlformats.org/officeDocument/2006/relationships/image" Target="../media/image2.emf" /><Relationship Id="rId15" Type="http://schemas.openxmlformats.org/officeDocument/2006/relationships/image" Target="../media/image20.emf" /><Relationship Id="rId16" Type="http://schemas.openxmlformats.org/officeDocument/2006/relationships/image" Target="../media/image21.emf" /><Relationship Id="rId17" Type="http://schemas.openxmlformats.org/officeDocument/2006/relationships/image" Target="../media/image22.emf" /><Relationship Id="rId18" Type="http://schemas.openxmlformats.org/officeDocument/2006/relationships/image" Target="../media/image23.emf" /><Relationship Id="rId19" Type="http://schemas.openxmlformats.org/officeDocument/2006/relationships/image" Target="../media/image22.emf" /><Relationship Id="rId20" Type="http://schemas.openxmlformats.org/officeDocument/2006/relationships/image" Target="../media/image23.emf" /><Relationship Id="rId21" Type="http://schemas.openxmlformats.org/officeDocument/2006/relationships/image" Target="../media/image22.emf" /><Relationship Id="rId22" Type="http://schemas.openxmlformats.org/officeDocument/2006/relationships/image" Target="../media/image24.emf" /><Relationship Id="rId23" Type="http://schemas.openxmlformats.org/officeDocument/2006/relationships/image" Target="../media/image22.emf" /><Relationship Id="rId24" Type="http://schemas.openxmlformats.org/officeDocument/2006/relationships/image" Target="../media/image23.emf" /><Relationship Id="rId25" Type="http://schemas.openxmlformats.org/officeDocument/2006/relationships/image" Target="../media/image22.emf" /><Relationship Id="rId26" Type="http://schemas.openxmlformats.org/officeDocument/2006/relationships/image" Target="../media/image24.emf" /><Relationship Id="rId27" Type="http://schemas.openxmlformats.org/officeDocument/2006/relationships/image" Target="../media/image22.emf" /><Relationship Id="rId28" Type="http://schemas.openxmlformats.org/officeDocument/2006/relationships/image" Target="../media/image24.emf" /><Relationship Id="rId29" Type="http://schemas.openxmlformats.org/officeDocument/2006/relationships/image" Target="../media/image22.emf" /><Relationship Id="rId30"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495300</xdr:colOff>
      <xdr:row>12</xdr:row>
      <xdr:rowOff>85725</xdr:rowOff>
    </xdr:from>
    <xdr:ext cx="1714500" cy="457200"/>
    <xdr:sp macro="[0]!Importar" textlink="">
      <xdr:nvSpPr>
        <xdr:cNvPr id="2" name="ImportButton"/>
        <xdr:cNvSpPr>
          <a:spLocks noChangeArrowheads="1"/>
        </xdr:cNvSpPr>
      </xdr:nvSpPr>
      <xdr:spPr bwMode="auto">
        <a:xfrm>
          <a:off x="7467600" y="2181225"/>
          <a:ext cx="1714500" cy="457200"/>
        </a:xfrm>
        <a:prstGeom prst="rect">
          <a:avLst/>
        </a:prstGeom>
        <a:solidFill>
          <a:srgbClr val="D0CECE"/>
        </a:solidFill>
        <a:ln w="6350" algn="ctr">
          <a:solidFill>
            <a:srgbClr val="41719C"/>
          </a:solidFill>
          <a:miter lim="800000"/>
          <a:headEnd type="none"/>
          <a:tailEnd type="none"/>
        </a:ln>
        <a:effectLst>
          <a:outerShdw dist="63500" dir="2700000" algn="tl" rotWithShape="0">
            <a:prstClr val="black"/>
          </a:outerShdw>
        </a:effectLst>
      </xdr:spPr>
      <xdr:txBody>
        <a:bodyPr vertOverflow="clip" wrap="square" lIns="27432" tIns="27432" rIns="27432" bIns="27432" anchor="ctr" upright="1"/>
        <a:lstStyle/>
        <a:p>
          <a:pPr algn="ctr" rtl="0">
            <a:defRPr sz="1000"/>
          </a:pPr>
          <a:r>
            <a:rPr lang="pt-BR" sz="1050" b="0" i="0" u="none" strike="noStrike" baseline="0">
              <a:solidFill>
                <a:srgbClr val="000000"/>
              </a:solidFill>
              <a:latin typeface="Calibri"/>
            </a:rPr>
            <a:t>Importar PO</a:t>
          </a:r>
        </a:p>
        <a:p>
          <a:pPr algn="ctr" rtl="0">
            <a:defRPr sz="1000"/>
          </a:pPr>
          <a:r>
            <a:rPr lang="pt-BR" sz="1050" b="0" i="0" u="none" strike="noStrike" baseline="0">
              <a:solidFill>
                <a:srgbClr val="000000"/>
              </a:solidFill>
              <a:latin typeface="Calibri"/>
            </a:rPr>
            <a:t>(MO27476)</a:t>
          </a:r>
        </a:p>
      </xdr:txBody>
    </xdr:sp>
    <xdr:clientData fPrintsWithSheet="0"/>
  </xdr:oneCellAnchor>
  <mc:AlternateContent xmlns:mc="http://schemas.openxmlformats.org/markup-compatibility/2006">
    <mc:Choice xmlns:a14="http://schemas.microsoft.com/office/drawing/2010/main" Requires="a14">
      <xdr:twoCellAnchor xmlns:xdr="http://schemas.openxmlformats.org/drawingml/2006/spreadsheetDrawing" editAs="oneCell">
        <xdr:from>
          <xdr:col>0</xdr:col>
          <xdr:colOff>381000</xdr:colOff>
          <xdr:row>18</xdr:row>
          <xdr:rowOff>83820</xdr:rowOff>
        </xdr:from>
        <xdr:to>
          <xdr:col>5</xdr:col>
          <xdr:colOff>228600</xdr:colOff>
          <xdr:row>20</xdr:row>
          <xdr:rowOff>45720</xdr:rowOff>
        </xdr:to>
        <xdr:sp macro="" textlink="">
          <xdr:nvSpPr>
            <xdr:cNvPr id="34202" name="OptionPLQ-ON" descr="Parcela 1" hidden="1">
              <a:extLst xmlns:a="http://schemas.openxmlformats.org/drawingml/2006/main">
                <a:ext uri="{63B3BB69-23CF-44E3-9099-C40C66FF867C}">
                  <a14:compatExt spid="_x0000_s34202"/>
                </a:ext>
                <a:ext uri="{FF2B5EF4-FFF2-40B4-BE49-F238E27FC236}">
                  <a16:creationId xmlns:a16="http://schemas.microsoft.com/office/drawing/2014/main" id="{00000000-0008-0000-0000-00009A8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pt-BR" sz="800" b="0" i="0" u="none" strike="noStrike" baseline="0">
                  <a:solidFill>
                    <a:srgbClr val="000000"/>
                  </a:solidFill>
                  <a:latin typeface="Segoe UI"/>
                  <a:cs typeface="Segoe UI"/>
                </a:rPr>
                <a:t>MÚLTIPLAS FRENTES (PREENCHIMENTO NA PLQ)</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5</xdr:col>
          <xdr:colOff>228600</xdr:colOff>
          <xdr:row>18</xdr:row>
          <xdr:rowOff>83820</xdr:rowOff>
        </xdr:from>
        <xdr:to>
          <xdr:col>11</xdr:col>
          <xdr:colOff>144780</xdr:colOff>
          <xdr:row>20</xdr:row>
          <xdr:rowOff>45720</xdr:rowOff>
        </xdr:to>
        <xdr:sp macro="" textlink="">
          <xdr:nvSpPr>
            <xdr:cNvPr id="34203" name="OptionPLQ-OFF" descr="Parcela 1" hidden="1">
              <a:extLst xmlns:a="http://schemas.openxmlformats.org/drawingml/2006/main">
                <a:ext uri="{63B3BB69-23CF-44E3-9099-C40C66FF867C}">
                  <a14:compatExt spid="_x0000_s34203"/>
                </a:ext>
                <a:ext uri="{FF2B5EF4-FFF2-40B4-BE49-F238E27FC236}">
                  <a16:creationId xmlns:a16="http://schemas.microsoft.com/office/drawing/2014/main" id="{00000000-0008-0000-0000-00009B8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xmlns:a="http://schemas.openxmlformats.org/drawingml/2006/main" vertOverflow="clip" wrap="square" lIns="27432" tIns="27432" rIns="0" bIns="27432" anchor="ctr" upright="1"/>
            <a:lstStyle xmlns:a="http://schemas.openxmlformats.org/drawingml/2006/main"/>
            <a:p xmlns:a="http://schemas.openxmlformats.org/drawingml/2006/main">
              <a:pPr algn="l" rtl="0">
                <a:defRPr sz="1000"/>
              </a:pPr>
              <a:r>
                <a:rPr lang="pt-BR" sz="800" b="0" i="0" u="none" strike="noStrike" baseline="0">
                  <a:solidFill>
                    <a:srgbClr val="000000"/>
                  </a:solidFill>
                  <a:latin typeface="Segoe UI"/>
                  <a:cs typeface="Segoe UI"/>
                </a:rPr>
                <a:t>FRENTE ÚNICA (PREENCHIMENTO DIRETAMENTE NA PO)</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95250</xdr:colOff>
      <xdr:row>5</xdr:row>
      <xdr:rowOff>47625</xdr:rowOff>
    </xdr:from>
    <xdr:to>
      <xdr:col>19</xdr:col>
      <xdr:colOff>1152525</xdr:colOff>
      <xdr:row>7</xdr:row>
      <xdr:rowOff>142875</xdr:rowOff>
    </xdr:to>
    <xdr:sp macro="[0]!BDI_add" textlink="">
      <xdr:nvSpPr>
        <xdr:cNvPr id="2" name="FiltroButton"/>
        <xdr:cNvSpPr txBox="1">
          <a:spLocks noChangeArrowheads="1"/>
        </xdr:cNvSpPr>
      </xdr:nvSpPr>
      <xdr:spPr bwMode="auto">
        <a:xfrm>
          <a:off x="7629525" y="885825"/>
          <a:ext cx="1057275" cy="342900"/>
        </a:xfrm>
        <a:prstGeom prst="rect">
          <a:avLst/>
        </a:prstGeom>
        <a:solidFill>
          <a:srgbClr val="E3E3E3"/>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BDI</a:t>
          </a:r>
        </a:p>
      </xdr:txBody>
    </xdr:sp>
    <xdr:clientData fPrintsWithSheet="0"/>
  </xdr:twoCellAnchor>
  <xdr:oneCellAnchor>
    <xdr:from>
      <xdr:col>8</xdr:col>
      <xdr:colOff>28575</xdr:colOff>
      <xdr:row>0</xdr:row>
      <xdr:rowOff>19050</xdr:rowOff>
    </xdr:from>
    <xdr:ext cx="1790700" cy="381000"/>
    <xdr:sp macro="" textlink="">
      <xdr:nvSpPr>
        <xdr:cNvPr id="156124" name="Object 476" hidden="1"/>
        <xdr:cNvSpPr/>
      </xdr:nvSpPr>
      <xdr:spPr>
        <a:xfrm>
          <a:off x="28575" y="19050"/>
          <a:ext cx="1790700" cy="381000"/>
        </a:xfrm>
        <a:prstGeom prst="rect">
          <a:avLst/>
        </a:prstGeom>
        <a:ln>
          <a:noFill/>
        </a:ln>
      </xdr:spPr>
    </xdr:sp>
    <xdr:clientData/>
  </xdr:oneCellAnchor>
  <xdr:twoCellAnchor editAs="oneCell">
    <xdr:from>
      <xdr:col>8</xdr:col>
      <xdr:colOff>28575</xdr:colOff>
      <xdr:row>0</xdr:row>
      <xdr:rowOff>19050</xdr:rowOff>
    </xdr:from>
    <xdr:to>
      <xdr:col>10</xdr:col>
      <xdr:colOff>390525</xdr:colOff>
      <xdr:row>2</xdr:row>
      <xdr:rowOff>47625</xdr:rowOff>
    </xdr:to>
    <xdr:pic>
      <xdr:nvPicPr>
        <xdr:cNvPr id="3" name="Picture 47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8575" y="19050"/>
          <a:ext cx="1790700" cy="381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95250</xdr:colOff>
      <xdr:row>5</xdr:row>
      <xdr:rowOff>47625</xdr:rowOff>
    </xdr:from>
    <xdr:to>
      <xdr:col>19</xdr:col>
      <xdr:colOff>1152525</xdr:colOff>
      <xdr:row>7</xdr:row>
      <xdr:rowOff>142875</xdr:rowOff>
    </xdr:to>
    <xdr:sp macro="[0]!BDI_add" textlink="">
      <xdr:nvSpPr>
        <xdr:cNvPr id="2" name="FiltroButton"/>
        <xdr:cNvSpPr txBox="1">
          <a:spLocks noChangeArrowheads="1"/>
        </xdr:cNvSpPr>
      </xdr:nvSpPr>
      <xdr:spPr bwMode="auto">
        <a:xfrm>
          <a:off x="7629525" y="885825"/>
          <a:ext cx="1057275" cy="342900"/>
        </a:xfrm>
        <a:prstGeom prst="rect">
          <a:avLst/>
        </a:prstGeom>
        <a:solidFill>
          <a:srgbClr val="E3E3E3"/>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BDI</a:t>
          </a:r>
        </a:p>
      </xdr:txBody>
    </xdr:sp>
    <xdr:clientData fPrintsWithSheet="0"/>
  </xdr:twoCellAnchor>
  <xdr:oneCellAnchor>
    <xdr:from>
      <xdr:col>8</xdr:col>
      <xdr:colOff>28575</xdr:colOff>
      <xdr:row>0</xdr:row>
      <xdr:rowOff>19050</xdr:rowOff>
    </xdr:from>
    <xdr:ext cx="1790700" cy="381000"/>
    <xdr:sp macro="" textlink="">
      <xdr:nvSpPr>
        <xdr:cNvPr id="3" name="Object 476" hidden="1"/>
        <xdr:cNvSpPr/>
      </xdr:nvSpPr>
      <xdr:spPr>
        <a:xfrm>
          <a:off x="28575" y="19050"/>
          <a:ext cx="1790700" cy="381000"/>
        </a:xfrm>
        <a:prstGeom prst="rect">
          <a:avLst/>
        </a:prstGeom>
        <a:ln>
          <a:noFill/>
        </a:ln>
      </xdr:spPr>
    </xdr:sp>
    <xdr:clientData/>
  </xdr:oneCellAnchor>
  <xdr:twoCellAnchor editAs="oneCell">
    <xdr:from>
      <xdr:col>8</xdr:col>
      <xdr:colOff>28575</xdr:colOff>
      <xdr:row>0</xdr:row>
      <xdr:rowOff>19050</xdr:rowOff>
    </xdr:from>
    <xdr:to>
      <xdr:col>10</xdr:col>
      <xdr:colOff>390525</xdr:colOff>
      <xdr:row>2</xdr:row>
      <xdr:rowOff>47625</xdr:rowOff>
    </xdr:to>
    <xdr:pic>
      <xdr:nvPicPr>
        <xdr:cNvPr id="5" name="Picture 47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28575" y="19050"/>
          <a:ext cx="1790700" cy="381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57150</xdr:colOff>
      <xdr:row>0</xdr:row>
      <xdr:rowOff>19050</xdr:rowOff>
    </xdr:from>
    <xdr:ext cx="1800225" cy="381000"/>
    <xdr:sp macro="" textlink="">
      <xdr:nvSpPr>
        <xdr:cNvPr id="185899" name="Object 5675" hidden="1"/>
        <xdr:cNvSpPr/>
      </xdr:nvSpPr>
      <xdr:spPr>
        <a:xfrm>
          <a:off x="638175" y="19050"/>
          <a:ext cx="1800225" cy="381000"/>
        </a:xfrm>
        <a:prstGeom prst="rect">
          <a:avLst/>
        </a:prstGeom>
        <a:ln>
          <a:noFill/>
        </a:ln>
      </xdr:spPr>
    </xdr:sp>
    <xdr:clientData/>
  </xdr:oneCellAnchor>
  <xdr:twoCellAnchor>
    <xdr:from>
      <xdr:col>13</xdr:col>
      <xdr:colOff>142875</xdr:colOff>
      <xdr:row>7</xdr:row>
      <xdr:rowOff>161925</xdr:rowOff>
    </xdr:from>
    <xdr:to>
      <xdr:col>13</xdr:col>
      <xdr:colOff>1619250</xdr:colOff>
      <xdr:row>7</xdr:row>
      <xdr:rowOff>342900</xdr:rowOff>
    </xdr:to>
    <xdr:sp macro="[0]!EditarPlan" textlink="">
      <xdr:nvSpPr>
        <xdr:cNvPr id="5" name="EditarButton"/>
        <xdr:cNvSpPr txBox="1">
          <a:spLocks noChangeArrowheads="1"/>
        </xdr:cNvSpPr>
      </xdr:nvSpPr>
      <xdr:spPr bwMode="auto">
        <a:xfrm>
          <a:off x="3667125" y="1905000"/>
          <a:ext cx="1476375" cy="180975"/>
        </a:xfrm>
        <a:prstGeom prst="rect">
          <a:avLst/>
        </a:prstGeom>
        <a:solidFill>
          <a:srgbClr val="99FF99"/>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EDITAR PLANILHA</a:t>
          </a:r>
        </a:p>
      </xdr:txBody>
    </xdr:sp>
    <xdr:clientData fPrintsWithSheet="0"/>
  </xdr:twoCellAnchor>
  <xdr:twoCellAnchor>
    <xdr:from>
      <xdr:col>13</xdr:col>
      <xdr:colOff>3762375</xdr:colOff>
      <xdr:row>7</xdr:row>
      <xdr:rowOff>161925</xdr:rowOff>
    </xdr:from>
    <xdr:to>
      <xdr:col>13</xdr:col>
      <xdr:colOff>5076825</xdr:colOff>
      <xdr:row>9</xdr:row>
      <xdr:rowOff>152400</xdr:rowOff>
    </xdr:to>
    <xdr:sp macro="[0]!licitacaouserform" textlink="">
      <xdr:nvSpPr>
        <xdr:cNvPr id="6" name="LicitButton"/>
        <xdr:cNvSpPr txBox="1">
          <a:spLocks noChangeArrowheads="1"/>
        </xdr:cNvSpPr>
      </xdr:nvSpPr>
      <xdr:spPr bwMode="auto">
        <a:xfrm>
          <a:off x="7286625" y="1905000"/>
          <a:ext cx="1314450" cy="371475"/>
        </a:xfrm>
        <a:prstGeom prst="rect">
          <a:avLst/>
        </a:prstGeom>
        <a:solidFill>
          <a:srgbClr val="33CCCC"/>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LICITAR / REPROGRAMAR</a:t>
          </a:r>
        </a:p>
      </xdr:txBody>
    </xdr:sp>
    <xdr:clientData fPrintsWithSheet="0"/>
  </xdr:twoCellAnchor>
  <xdr:twoCellAnchor>
    <xdr:from>
      <xdr:col>13</xdr:col>
      <xdr:colOff>1971675</xdr:colOff>
      <xdr:row>7</xdr:row>
      <xdr:rowOff>161925</xdr:rowOff>
    </xdr:from>
    <xdr:to>
      <xdr:col>13</xdr:col>
      <xdr:colOff>3448050</xdr:colOff>
      <xdr:row>7</xdr:row>
      <xdr:rowOff>342900</xdr:rowOff>
    </xdr:to>
    <xdr:sp macro="[0]!fixarReferencias" textlink="">
      <xdr:nvSpPr>
        <xdr:cNvPr id="7" name="FixarButton"/>
        <xdr:cNvSpPr txBox="1">
          <a:spLocks noChangeArrowheads="1"/>
        </xdr:cNvSpPr>
      </xdr:nvSpPr>
      <xdr:spPr bwMode="auto">
        <a:xfrm>
          <a:off x="5495925" y="1905000"/>
          <a:ext cx="1476375" cy="180975"/>
        </a:xfrm>
        <a:prstGeom prst="rect">
          <a:avLst/>
        </a:prstGeom>
        <a:solidFill>
          <a:srgbClr val="99FF99"/>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FIXAR DESCRICOES</a:t>
          </a:r>
        </a:p>
      </xdr:txBody>
    </xdr:sp>
    <xdr:clientData fPrintsWithSheet="0"/>
  </xdr:twoCellAnchor>
  <xdr:twoCellAnchor>
    <xdr:from>
      <xdr:col>11</xdr:col>
      <xdr:colOff>381000</xdr:colOff>
      <xdr:row>7</xdr:row>
      <xdr:rowOff>161925</xdr:rowOff>
    </xdr:from>
    <xdr:to>
      <xdr:col>12</xdr:col>
      <xdr:colOff>809625</xdr:colOff>
      <xdr:row>7</xdr:row>
      <xdr:rowOff>342900</xdr:rowOff>
    </xdr:to>
    <xdr:sp macro="[0]!buscaCodigo" textlink="">
      <xdr:nvSpPr>
        <xdr:cNvPr id="8" name="BuscarButton"/>
        <xdr:cNvSpPr txBox="1">
          <a:spLocks noChangeArrowheads="1"/>
        </xdr:cNvSpPr>
      </xdr:nvSpPr>
      <xdr:spPr bwMode="auto">
        <a:xfrm>
          <a:off x="1809750" y="1905000"/>
          <a:ext cx="1476375" cy="180975"/>
        </a:xfrm>
        <a:prstGeom prst="rect">
          <a:avLst/>
        </a:prstGeom>
        <a:solidFill>
          <a:srgbClr val="99FF99"/>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BUSCAR CÓDIGO</a:t>
          </a:r>
        </a:p>
      </xdr:txBody>
    </xdr:sp>
    <xdr:clientData fPrintsWithSheet="0"/>
  </xdr:twoCellAnchor>
  <xdr:oneCellAnchor>
    <xdr:from>
      <xdr:col>14</xdr:col>
      <xdr:colOff>714375</xdr:colOff>
      <xdr:row>6</xdr:row>
      <xdr:rowOff>285750</xdr:rowOff>
    </xdr:from>
    <xdr:ext cx="4905375" cy="361950"/>
    <xdr:sp macro="" textlink="">
      <xdr:nvSpPr>
        <xdr:cNvPr id="9" name="TextBoxArred"/>
        <xdr:cNvSpPr txBox="1">
          <a:spLocks noChangeArrowheads="1"/>
        </xdr:cNvSpPr>
      </xdr:nvSpPr>
      <xdr:spPr bwMode="auto">
        <a:xfrm flipH="1">
          <a:off x="9620250" y="1714500"/>
          <a:ext cx="4905375" cy="361950"/>
        </a:xfrm>
        <a:prstGeom prst="rect">
          <a:avLst/>
        </a:prstGeom>
        <a:noFill/>
        <a:ln w="6350">
          <a:solidFill>
            <a:srgbClr val="000000"/>
          </a:solidFill>
          <a:miter lim="800000"/>
          <a:headEnd type="none"/>
          <a:tailEnd type="none"/>
        </a:ln>
        <a:extLst>
          <a:ext uri="{909E8E84-426E-40DD-AFC4-6F175D3DCCD1}">
            <a14:hiddenFill xmlns:a14="http://schemas.microsoft.com/office/drawing/2010/main">
              <a:solidFill>
                <a:srgbClr val="FFFFFF"/>
              </a:solidFill>
            </a14:hiddenFill>
          </a:ext>
        </a:extLst>
      </xdr:spPr>
      <xdr:txBody>
        <a:bodyPr vertOverflow="clip" wrap="square" lIns="27432" tIns="22860" rIns="27432" bIns="0" anchor="t" upright="1"/>
        <a:lstStyle/>
        <a:p>
          <a:pPr algn="ctr" rtl="0">
            <a:defRPr sz="1000"/>
          </a:pPr>
          <a:r>
            <a:rPr lang="pt-BR" sz="1000" b="0" i="0" u="none" strike="noStrike" baseline="0">
              <a:solidFill>
                <a:srgbClr val="000000"/>
              </a:solidFill>
              <a:latin typeface="Arial"/>
              <a:cs typeface="Arial"/>
            </a:rPr>
            <a:t>Considerar valores arredondados com (0,00)</a:t>
          </a:r>
        </a:p>
      </xdr:txBody>
    </xdr:sp>
    <xdr:clientData fPrintsWithSheet="0"/>
  </xdr:oneCellAnchor>
  <xdr:twoCellAnchor editAs="oneCell">
    <xdr:from>
      <xdr:col>10</xdr:col>
      <xdr:colOff>57150</xdr:colOff>
      <xdr:row>0</xdr:row>
      <xdr:rowOff>19050</xdr:rowOff>
    </xdr:from>
    <xdr:to>
      <xdr:col>11</xdr:col>
      <xdr:colOff>1009650</xdr:colOff>
      <xdr:row>2</xdr:row>
      <xdr:rowOff>76200</xdr:rowOff>
    </xdr:to>
    <xdr:pic>
      <xdr:nvPicPr>
        <xdr:cNvPr id="2" name="Picture 5675"/>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a:off x="638175" y="19050"/>
          <a:ext cx="1800225" cy="381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28575</xdr:rowOff>
    </xdr:from>
    <xdr:ext cx="1790700" cy="390525"/>
    <xdr:sp macro="" textlink="">
      <xdr:nvSpPr>
        <xdr:cNvPr id="193696" name="Object 13472" hidden="1"/>
        <xdr:cNvSpPr/>
      </xdr:nvSpPr>
      <xdr:spPr>
        <a:xfrm>
          <a:off x="876300" y="28575"/>
          <a:ext cx="1790700" cy="390525"/>
        </a:xfrm>
        <a:prstGeom prst="rect">
          <a:avLst/>
        </a:prstGeom>
        <a:ln>
          <a:noFill/>
        </a:ln>
      </xdr:spPr>
    </xdr:sp>
    <xdr:clientData/>
  </xdr:oneCellAnchor>
  <xdr:twoCellAnchor>
    <xdr:from>
      <xdr:col>3</xdr:col>
      <xdr:colOff>28575</xdr:colOff>
      <xdr:row>8</xdr:row>
      <xdr:rowOff>123825</xdr:rowOff>
    </xdr:from>
    <xdr:to>
      <xdr:col>4</xdr:col>
      <xdr:colOff>800100</xdr:colOff>
      <xdr:row>8</xdr:row>
      <xdr:rowOff>638175</xdr:rowOff>
    </xdr:to>
    <xdr:sp macro="" textlink="">
      <xdr:nvSpPr>
        <xdr:cNvPr id="5" name="AutoShape 68" descr="Frente de Obra:"/>
        <xdr:cNvSpPr>
          <a:spLocks noChangeArrowheads="1"/>
        </xdr:cNvSpPr>
      </xdr:nvSpPr>
      <xdr:spPr bwMode="auto">
        <a:xfrm>
          <a:off x="5629275" y="2095500"/>
          <a:ext cx="1285875" cy="514350"/>
        </a:xfrm>
        <a:prstGeom prst="rightArrow">
          <a:avLst>
            <a:gd name="adj1" fmla="val 50000"/>
            <a:gd name="adj2" fmla="val 57203"/>
          </a:avLst>
        </a:prstGeom>
        <a:solidFill>
          <a:srgbClr val="CCFFCC"/>
        </a:solidFill>
        <a:ln w="9525" algn="ctr">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t" upright="1"/>
        <a:lstStyle/>
        <a:p>
          <a:pPr algn="l" rtl="0">
            <a:defRPr sz="1000"/>
          </a:pPr>
          <a:r>
            <a:rPr lang="pt-BR" sz="1000" b="1" i="0" u="none" strike="noStrike" baseline="0">
              <a:solidFill>
                <a:srgbClr val="000000"/>
              </a:solidFill>
              <a:latin typeface="Arial"/>
              <a:cs typeface="Arial"/>
            </a:rPr>
            <a:t>Frente de Obra:</a:t>
          </a:r>
        </a:p>
      </xdr:txBody>
    </xdr:sp>
    <xdr:clientData/>
  </xdr:twoCellAnchor>
  <xdr:oneCellAnchor>
    <xdr:from>
      <xdr:col>2</xdr:col>
      <xdr:colOff>676275</xdr:colOff>
      <xdr:row>8</xdr:row>
      <xdr:rowOff>104775</xdr:rowOff>
    </xdr:from>
    <xdr:ext cx="1028700" cy="381000"/>
    <xdr:sp macro="[0]!IncluirPLQ" textlink="">
      <xdr:nvSpPr>
        <xdr:cNvPr id="6" name="AddPLQ"/>
        <xdr:cNvSpPr txBox="1">
          <a:spLocks noChangeArrowheads="1"/>
        </xdr:cNvSpPr>
      </xdr:nvSpPr>
      <xdr:spPr bwMode="auto">
        <a:xfrm>
          <a:off x="2238375" y="2076450"/>
          <a:ext cx="1028700" cy="381000"/>
        </a:xfrm>
        <a:prstGeom prst="rect">
          <a:avLst/>
        </a:prstGeom>
        <a:solidFill>
          <a:srgbClr val="99FF99"/>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ADICIONAR 10 FRENTES</a:t>
          </a:r>
        </a:p>
      </xdr:txBody>
    </xdr:sp>
    <xdr:clientData fPrintsWithSheet="0"/>
  </xdr:oneCellAnchor>
  <xdr:oneCellAnchor>
    <xdr:from>
      <xdr:col>2</xdr:col>
      <xdr:colOff>1971675</xdr:colOff>
      <xdr:row>8</xdr:row>
      <xdr:rowOff>104775</xdr:rowOff>
    </xdr:from>
    <xdr:ext cx="1028700" cy="381000"/>
    <xdr:sp macro="[0]!ExcluirPLQ" textlink="">
      <xdr:nvSpPr>
        <xdr:cNvPr id="7" name="RemovePLQ"/>
        <xdr:cNvSpPr txBox="1">
          <a:spLocks noChangeArrowheads="1"/>
        </xdr:cNvSpPr>
      </xdr:nvSpPr>
      <xdr:spPr bwMode="auto">
        <a:xfrm>
          <a:off x="3533775" y="2076450"/>
          <a:ext cx="1028700" cy="381000"/>
        </a:xfrm>
        <a:prstGeom prst="rect">
          <a:avLst/>
        </a:prstGeom>
        <a:solidFill>
          <a:srgbClr val="993366"/>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FFFFFF"/>
              </a:solidFill>
              <a:latin typeface="Arial"/>
              <a:cs typeface="Arial"/>
            </a:rPr>
            <a:t>EXCLUIR 10 FRENTES</a:t>
          </a:r>
        </a:p>
      </xdr:txBody>
    </xdr:sp>
    <xdr:clientData fPrintsWithSheet="0"/>
  </xdr:oneCellAnchor>
  <xdr:twoCellAnchor editAs="oneCell">
    <xdr:from>
      <xdr:col>1</xdr:col>
      <xdr:colOff>28575</xdr:colOff>
      <xdr:row>0</xdr:row>
      <xdr:rowOff>28575</xdr:rowOff>
    </xdr:from>
    <xdr:to>
      <xdr:col>2</xdr:col>
      <xdr:colOff>1104900</xdr:colOff>
      <xdr:row>1</xdr:row>
      <xdr:rowOff>190500</xdr:rowOff>
    </xdr:to>
    <xdr:pic>
      <xdr:nvPicPr>
        <xdr:cNvPr id="2" name="Picture 13472"/>
        <xdr:cNvPicPr preferRelativeResize="1">
          <a:picLocks noChangeAspect="1"/>
        </xdr:cNvPicPr>
      </xdr:nvPicPr>
      <xdr:blipFill>
        <a:blip r:embed="rId6">
          <a:extLst>
            <a:ext uri="{28A0092B-C50C-407E-A947-70E740481C1C}">
              <a14:useLocalDpi xmlns:a14="http://schemas.microsoft.com/office/drawing/2010/main" val="0"/>
            </a:ext>
          </a:extLst>
        </a:blip>
        <a:stretch>
          <a:fillRect/>
        </a:stretch>
      </xdr:blipFill>
      <xdr:spPr bwMode="auto">
        <a:xfrm>
          <a:off x="876300" y="28575"/>
          <a:ext cx="1790700" cy="381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57150</xdr:colOff>
      <xdr:row>0</xdr:row>
      <xdr:rowOff>38100</xdr:rowOff>
    </xdr:from>
    <xdr:ext cx="1790700" cy="381000"/>
    <xdr:sp macro="" textlink="">
      <xdr:nvSpPr>
        <xdr:cNvPr id="193474" name="Object 125890" hidden="1"/>
        <xdr:cNvSpPr/>
      </xdr:nvSpPr>
      <xdr:spPr>
        <a:xfrm>
          <a:off x="57150" y="38100"/>
          <a:ext cx="1790700" cy="381000"/>
        </a:xfrm>
        <a:prstGeom prst="rect">
          <a:avLst/>
        </a:prstGeom>
        <a:ln>
          <a:noFill/>
        </a:ln>
      </xdr:spPr>
    </xdr:sp>
    <xdr:clientData/>
  </xdr:oneCellAnchor>
  <xdr:oneCellAnchor>
    <xdr:from>
      <xdr:col>11</xdr:col>
      <xdr:colOff>628650</xdr:colOff>
      <xdr:row>7</xdr:row>
      <xdr:rowOff>209550</xdr:rowOff>
    </xdr:from>
    <xdr:ext cx="1781175" cy="342900"/>
    <xdr:sp macro="[0]!EditarCRONO" textlink="">
      <xdr:nvSpPr>
        <xdr:cNvPr id="7" name="AddCFF"/>
        <xdr:cNvSpPr txBox="1">
          <a:spLocks noChangeArrowheads="1"/>
        </xdr:cNvSpPr>
      </xdr:nvSpPr>
      <xdr:spPr bwMode="auto">
        <a:xfrm>
          <a:off x="628650" y="1914525"/>
          <a:ext cx="1781175" cy="342900"/>
        </a:xfrm>
        <a:prstGeom prst="rect">
          <a:avLst/>
        </a:prstGeom>
        <a:solidFill>
          <a:srgbClr val="99FF99"/>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a:effectLst>
          <a:outerShdw dist="53882" dir="2700000" algn="ctr" rotWithShape="0">
            <a:srgbClr val="000080"/>
          </a:outerShdw>
        </a:effectLst>
      </xdr:spPr>
      <xdr:txBody>
        <a:bodyPr vertOverflow="clip" wrap="square" lIns="27432" tIns="22860" rIns="27432" bIns="22860" anchor="ctr" upright="1"/>
        <a:lstStyle/>
        <a:p>
          <a:pPr algn="ctr" rtl="0">
            <a:defRPr sz="1000"/>
          </a:pPr>
          <a:r>
            <a:rPr lang="pt-BR" sz="900" b="1" i="0" u="none" strike="noStrike" baseline="0">
              <a:solidFill>
                <a:srgbClr val="000000"/>
              </a:solidFill>
              <a:latin typeface="Arial"/>
              <a:cs typeface="Arial"/>
            </a:rPr>
            <a:t>EDITAR / ATUALIZAR CRONOGRAMA</a:t>
          </a:r>
        </a:p>
      </xdr:txBody>
    </xdr:sp>
    <xdr:clientData fPrintsWithSheet="0"/>
  </xdr:oneCellAnchor>
  <xdr:twoCellAnchor editAs="oneCell">
    <xdr:from>
      <xdr:col>11</xdr:col>
      <xdr:colOff>57150</xdr:colOff>
      <xdr:row>0</xdr:row>
      <xdr:rowOff>38100</xdr:rowOff>
    </xdr:from>
    <xdr:to>
      <xdr:col>12</xdr:col>
      <xdr:colOff>1133475</xdr:colOff>
      <xdr:row>2</xdr:row>
      <xdr:rowOff>95250</xdr:rowOff>
    </xdr:to>
    <xdr:pic>
      <xdr:nvPicPr>
        <xdr:cNvPr id="2" name="Picture 125890"/>
        <xdr:cNvPicPr preferRelativeResize="1">
          <a:picLocks noChangeAspect="1"/>
        </xdr:cNvPicPr>
      </xdr:nvPicPr>
      <xdr:blipFill>
        <a:blip r:embed="rId7">
          <a:extLst>
            <a:ext uri="{28A0092B-C50C-407E-A947-70E740481C1C}">
              <a14:useLocalDpi xmlns:a14="http://schemas.microsoft.com/office/drawing/2010/main" val="0"/>
            </a:ext>
          </a:extLst>
        </a:blip>
        <a:stretch>
          <a:fillRect/>
        </a:stretch>
      </xdr:blipFill>
      <xdr:spPr bwMode="auto">
        <a:xfrm>
          <a:off x="57150" y="38100"/>
          <a:ext cx="1790700" cy="38100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8" Type="http://schemas.openxmlformats.org/officeDocument/2006/relationships/ctrlProp" Target="../ctrlProps/ctrlProp7.xml" /><Relationship Id="rId5" Type="http://schemas.openxmlformats.org/officeDocument/2006/relationships/ctrlProp" Target="../ctrlProps/ctrlProp4.xml" /><Relationship Id="rId7" Type="http://schemas.openxmlformats.org/officeDocument/2006/relationships/ctrlProp" Target="../ctrlProps/ctrlProp6.xml" /><Relationship Id="rId6" Type="http://schemas.openxmlformats.org/officeDocument/2006/relationships/ctrlProp" Target="../ctrlProps/ctrlProp5.xml" /><Relationship Id="rId4" Type="http://schemas.openxmlformats.org/officeDocument/2006/relationships/ctrlProp" Target="../ctrlProps/ctrlProp3.xml" /><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3">
    <tabColor rgb="FFFFC000"/>
    <pageSetUpPr fitToPage="1"/>
  </sheetPr>
  <dimension ref="A1:Y257"/>
  <sheetViews>
    <sheetView showGridLines="0" zoomScaleSheetLayoutView="100" workbookViewId="0" topLeftCell="A40">
      <selection activeCell="A49" sqref="A49"/>
    </sheetView>
  </sheetViews>
  <sheetFormatPr defaultColWidth="9.140625" defaultRowHeight="12.75"/>
  <cols>
    <col min="1" max="2" width="8.7109375" style="8" customWidth="1"/>
    <col min="3" max="5" width="8.7109375" style="1" customWidth="1"/>
    <col min="6" max="8" width="8.7109375" style="7" customWidth="1"/>
    <col min="9" max="24" width="8.7109375" style="1" customWidth="1"/>
    <col min="25" max="16384" width="9.140625" style="1" customWidth="1"/>
  </cols>
  <sheetData>
    <row r="1" spans="1:24" ht="12.75" customHeight="1">
      <c r="A1" s="103">
        <v>27476</v>
      </c>
      <c r="B1" s="261" t="s">
        <v>2</v>
      </c>
      <c r="C1" s="261"/>
      <c r="D1" s="261"/>
      <c r="E1" s="261"/>
      <c r="F1" s="261"/>
      <c r="G1" s="261"/>
      <c r="H1" s="261"/>
      <c r="I1" s="261"/>
      <c r="J1" s="261"/>
      <c r="K1" s="261"/>
      <c r="L1" s="261"/>
      <c r="M1" s="261"/>
      <c r="N1" s="261"/>
      <c r="O1" s="261"/>
      <c r="P1" s="261"/>
      <c r="Q1" s="261"/>
      <c r="R1" s="261"/>
      <c r="S1" s="261"/>
      <c r="T1" s="261"/>
      <c r="U1" s="261"/>
      <c r="V1" s="261"/>
      <c r="W1" s="261"/>
      <c r="X1" s="262"/>
    </row>
    <row r="2" spans="1:24" ht="13.5" customHeight="1">
      <c r="A2" s="105" t="s">
        <v>227</v>
      </c>
      <c r="B2" s="263"/>
      <c r="C2" s="263"/>
      <c r="D2" s="263"/>
      <c r="E2" s="263"/>
      <c r="F2" s="263"/>
      <c r="G2" s="263"/>
      <c r="H2" s="263"/>
      <c r="I2" s="263"/>
      <c r="J2" s="263"/>
      <c r="K2" s="263"/>
      <c r="L2" s="263"/>
      <c r="M2" s="263"/>
      <c r="N2" s="263"/>
      <c r="O2" s="263"/>
      <c r="P2" s="263"/>
      <c r="Q2" s="263"/>
      <c r="R2" s="263"/>
      <c r="S2" s="263"/>
      <c r="T2" s="263"/>
      <c r="U2" s="263"/>
      <c r="V2" s="263"/>
      <c r="W2" s="263"/>
      <c r="X2" s="264"/>
    </row>
    <row r="3" spans="1:8" ht="13.5" customHeight="1">
      <c r="A3" s="1"/>
      <c r="B3" s="1"/>
      <c r="F3" s="1"/>
      <c r="G3" s="1"/>
      <c r="H3" s="1"/>
    </row>
    <row r="4" spans="1:24" s="21" customFormat="1" ht="12.75" customHeight="1">
      <c r="A4" s="273" t="s">
        <v>167</v>
      </c>
      <c r="B4" s="273"/>
      <c r="C4" s="273"/>
      <c r="D4" s="273"/>
      <c r="E4" s="273"/>
      <c r="F4" s="273"/>
      <c r="G4" s="273"/>
      <c r="H4" s="273"/>
      <c r="I4" s="273"/>
      <c r="J4" s="273"/>
      <c r="K4" s="273"/>
      <c r="L4" s="273"/>
      <c r="M4" s="273"/>
      <c r="N4" s="273"/>
      <c r="O4" s="273"/>
      <c r="P4" s="273"/>
      <c r="Q4" s="273"/>
      <c r="R4" s="273"/>
      <c r="S4" s="273"/>
      <c r="T4" s="273"/>
      <c r="U4" s="273"/>
      <c r="V4" s="273"/>
      <c r="W4" s="273"/>
      <c r="X4" s="273"/>
    </row>
    <row r="5" spans="1:8" s="21" customFormat="1" ht="12.75">
      <c r="A5" s="22"/>
      <c r="B5" s="22"/>
      <c r="F5" s="23"/>
      <c r="G5" s="23"/>
      <c r="H5" s="23"/>
    </row>
    <row r="6" spans="1:24" s="22" customFormat="1" ht="24.9" customHeight="1">
      <c r="A6" s="274" t="s">
        <v>178</v>
      </c>
      <c r="B6" s="275"/>
      <c r="C6" s="275"/>
      <c r="D6" s="275"/>
      <c r="E6" s="275"/>
      <c r="F6" s="275"/>
      <c r="G6" s="275"/>
      <c r="H6" s="275"/>
      <c r="I6" s="275"/>
      <c r="J6" s="275"/>
      <c r="K6" s="275"/>
      <c r="L6" s="275"/>
      <c r="M6" s="275"/>
      <c r="N6" s="275"/>
      <c r="O6" s="275"/>
      <c r="P6" s="275"/>
      <c r="Q6" s="275"/>
      <c r="R6" s="275"/>
      <c r="S6" s="275"/>
      <c r="T6" s="275"/>
      <c r="U6" s="275"/>
      <c r="V6" s="275"/>
      <c r="W6" s="275"/>
      <c r="X6" s="275"/>
    </row>
    <row r="7" spans="1:8" s="21" customFormat="1" ht="12.75" customHeight="1">
      <c r="A7" s="22"/>
      <c r="B7" s="22"/>
      <c r="F7" s="23"/>
      <c r="G7" s="23"/>
      <c r="H7" s="23"/>
    </row>
    <row r="8" spans="1:25" s="21" customFormat="1" ht="12.75" customHeight="1">
      <c r="A8" s="276" t="s">
        <v>23</v>
      </c>
      <c r="B8" s="276"/>
      <c r="C8" s="276"/>
      <c r="D8" s="276"/>
      <c r="E8" s="276"/>
      <c r="F8" s="276"/>
      <c r="G8" s="276"/>
      <c r="H8" s="276"/>
      <c r="I8" s="276"/>
      <c r="J8" s="276"/>
      <c r="K8" s="276"/>
      <c r="L8" s="276"/>
      <c r="M8" s="276"/>
      <c r="N8" s="276"/>
      <c r="O8" s="276"/>
      <c r="P8" s="276"/>
      <c r="Q8" s="276"/>
      <c r="R8" s="276"/>
      <c r="S8" s="276"/>
      <c r="T8" s="276"/>
      <c r="U8" s="276"/>
      <c r="V8" s="276"/>
      <c r="W8" s="276"/>
      <c r="X8" s="276"/>
      <c r="Y8" s="24"/>
    </row>
    <row r="9" spans="1:25" s="21" customFormat="1" ht="6" customHeight="1">
      <c r="A9" s="48"/>
      <c r="B9" s="48"/>
      <c r="C9" s="48"/>
      <c r="D9" s="48"/>
      <c r="E9" s="48"/>
      <c r="F9" s="48"/>
      <c r="G9" s="48"/>
      <c r="H9" s="48"/>
      <c r="I9" s="48"/>
      <c r="J9" s="48"/>
      <c r="K9" s="48"/>
      <c r="L9" s="48"/>
      <c r="M9" s="48"/>
      <c r="N9" s="48"/>
      <c r="O9" s="48"/>
      <c r="P9" s="48"/>
      <c r="Q9" s="48"/>
      <c r="R9" s="48"/>
      <c r="S9" s="48"/>
      <c r="T9" s="48"/>
      <c r="U9" s="48"/>
      <c r="V9" s="48"/>
      <c r="W9" s="48"/>
      <c r="X9" s="48"/>
      <c r="Y9" s="24"/>
    </row>
    <row r="10" spans="1:24" s="21" customFormat="1" ht="12.75" customHeight="1">
      <c r="A10" s="278" t="s">
        <v>168</v>
      </c>
      <c r="B10" s="278"/>
      <c r="C10" s="278"/>
      <c r="D10" s="278"/>
      <c r="E10" s="278"/>
      <c r="F10" s="278"/>
      <c r="G10" s="278"/>
      <c r="H10" s="278"/>
      <c r="I10" s="278"/>
      <c r="J10" s="278"/>
      <c r="K10" s="278"/>
      <c r="L10" s="278"/>
      <c r="M10" s="278"/>
      <c r="N10" s="278"/>
      <c r="O10" s="278"/>
      <c r="P10" s="278"/>
      <c r="Q10" s="278"/>
      <c r="R10" s="278"/>
      <c r="S10" s="278"/>
      <c r="T10" s="278"/>
      <c r="U10" s="278"/>
      <c r="V10" s="278"/>
      <c r="W10" s="278"/>
      <c r="X10" s="278"/>
    </row>
    <row r="11" spans="1:24" s="21" customFormat="1" ht="6" customHeight="1">
      <c r="A11" s="49"/>
      <c r="B11" s="49"/>
      <c r="C11" s="49"/>
      <c r="D11" s="49"/>
      <c r="E11" s="49"/>
      <c r="F11" s="49"/>
      <c r="G11" s="49"/>
      <c r="H11" s="49"/>
      <c r="I11" s="49"/>
      <c r="J11" s="49"/>
      <c r="K11" s="49"/>
      <c r="L11" s="49"/>
      <c r="M11" s="49"/>
      <c r="N11" s="49"/>
      <c r="O11" s="49"/>
      <c r="P11" s="49"/>
      <c r="Q11" s="49"/>
      <c r="R11" s="49"/>
      <c r="S11" s="49"/>
      <c r="T11" s="49"/>
      <c r="U11" s="49"/>
      <c r="V11" s="49"/>
      <c r="W11" s="49"/>
      <c r="X11" s="49"/>
    </row>
    <row r="12" spans="1:24" s="21" customFormat="1" ht="24.9" customHeight="1">
      <c r="A12" s="278" t="s">
        <v>1</v>
      </c>
      <c r="B12" s="278"/>
      <c r="C12" s="278"/>
      <c r="D12" s="278"/>
      <c r="E12" s="278"/>
      <c r="F12" s="278"/>
      <c r="G12" s="278"/>
      <c r="H12" s="278"/>
      <c r="I12" s="278"/>
      <c r="J12" s="278"/>
      <c r="K12" s="278"/>
      <c r="L12" s="278"/>
      <c r="M12" s="278"/>
      <c r="N12" s="278"/>
      <c r="O12" s="278"/>
      <c r="P12" s="278"/>
      <c r="Q12" s="278"/>
      <c r="R12" s="278"/>
      <c r="S12" s="278"/>
      <c r="T12" s="278"/>
      <c r="U12" s="278"/>
      <c r="V12" s="278"/>
      <c r="W12" s="278"/>
      <c r="X12" s="278"/>
    </row>
    <row r="13" spans="1:8" s="21" customFormat="1" ht="12.75">
      <c r="A13" s="22"/>
      <c r="B13" s="22"/>
      <c r="F13" s="23"/>
      <c r="G13" s="23"/>
      <c r="H13" s="23"/>
    </row>
    <row r="14" spans="1:24" s="21" customFormat="1" ht="12.75">
      <c r="A14" s="277" t="s">
        <v>24</v>
      </c>
      <c r="B14" s="276"/>
      <c r="C14" s="276"/>
      <c r="D14" s="276"/>
      <c r="E14" s="276"/>
      <c r="F14" s="276"/>
      <c r="G14" s="276"/>
      <c r="H14" s="276"/>
      <c r="I14" s="276"/>
      <c r="J14" s="276"/>
      <c r="K14" s="276"/>
      <c r="L14" s="276"/>
      <c r="M14" s="276"/>
      <c r="N14" s="276"/>
      <c r="O14" s="276"/>
      <c r="P14" s="276"/>
      <c r="Q14" s="276"/>
      <c r="R14" s="276"/>
      <c r="S14" s="276"/>
      <c r="T14" s="276"/>
      <c r="U14" s="276"/>
      <c r="V14" s="276"/>
      <c r="W14" s="276"/>
      <c r="X14" s="276"/>
    </row>
    <row r="15" spans="1:8" s="21" customFormat="1" ht="12.75">
      <c r="A15" s="22"/>
      <c r="B15" s="22"/>
      <c r="F15" s="23"/>
      <c r="G15" s="23"/>
      <c r="H15" s="23"/>
    </row>
    <row r="16" spans="1:24" s="21" customFormat="1" ht="12.75">
      <c r="A16" s="245" t="s">
        <v>185</v>
      </c>
      <c r="B16" s="246"/>
      <c r="C16" s="246"/>
      <c r="D16" s="246"/>
      <c r="E16" s="246"/>
      <c r="F16" s="246"/>
      <c r="G16" s="246"/>
      <c r="H16" s="246"/>
      <c r="I16" s="246"/>
      <c r="J16" s="246"/>
      <c r="K16" s="246"/>
      <c r="L16" s="246"/>
      <c r="M16" s="246"/>
      <c r="N16" s="246"/>
      <c r="O16" s="246"/>
      <c r="P16" s="246"/>
      <c r="Q16" s="246"/>
      <c r="R16" s="246"/>
      <c r="S16" s="246"/>
      <c r="T16" s="246"/>
      <c r="U16" s="246"/>
      <c r="V16" s="246"/>
      <c r="W16" s="246"/>
      <c r="X16" s="246"/>
    </row>
    <row r="17" spans="1:24" s="21" customFormat="1" ht="6" customHeight="1">
      <c r="A17" s="48"/>
      <c r="B17" s="48"/>
      <c r="C17" s="48"/>
      <c r="D17" s="48"/>
      <c r="E17" s="48"/>
      <c r="F17" s="48"/>
      <c r="G17" s="48"/>
      <c r="H17" s="48"/>
      <c r="I17" s="48"/>
      <c r="J17" s="48"/>
      <c r="K17" s="48"/>
      <c r="L17" s="48"/>
      <c r="M17" s="48"/>
      <c r="N17" s="48"/>
      <c r="O17" s="48"/>
      <c r="P17" s="48"/>
      <c r="Q17" s="48"/>
      <c r="R17" s="48"/>
      <c r="S17" s="48"/>
      <c r="T17" s="48"/>
      <c r="U17" s="48"/>
      <c r="V17" s="48"/>
      <c r="W17" s="48"/>
      <c r="X17" s="48"/>
    </row>
    <row r="18" spans="1:24" s="21" customFormat="1" ht="12.75">
      <c r="A18" s="247" t="s">
        <v>186</v>
      </c>
      <c r="B18" s="247"/>
      <c r="C18" s="248"/>
      <c r="D18" s="248"/>
      <c r="E18" s="248"/>
      <c r="F18" s="248"/>
      <c r="G18" s="248"/>
      <c r="H18" s="248"/>
      <c r="I18" s="248"/>
      <c r="J18" s="248"/>
      <c r="K18" s="248"/>
      <c r="L18" s="248"/>
      <c r="M18" s="248"/>
      <c r="N18" s="248"/>
      <c r="O18" s="248"/>
      <c r="P18" s="248"/>
      <c r="Q18" s="248"/>
      <c r="R18" s="248"/>
      <c r="S18" s="248"/>
      <c r="T18" s="248"/>
      <c r="U18" s="248"/>
      <c r="V18" s="248"/>
      <c r="W18" s="248"/>
      <c r="X18" s="248"/>
    </row>
    <row r="19" spans="1:8" s="21" customFormat="1" ht="12.75">
      <c r="A19" s="22"/>
      <c r="B19" s="22"/>
      <c r="F19" s="23"/>
      <c r="G19" s="23"/>
      <c r="H19" s="23"/>
    </row>
    <row r="20" spans="1:8" s="21" customFormat="1" ht="12.75">
      <c r="A20" s="22"/>
      <c r="B20" s="22"/>
      <c r="F20" s="23"/>
      <c r="G20" s="23"/>
      <c r="H20" s="23"/>
    </row>
    <row r="21" spans="2:8" s="21" customFormat="1" ht="12.75">
      <c r="B21" s="22"/>
      <c r="F21" s="23"/>
      <c r="G21" s="23"/>
      <c r="H21" s="23"/>
    </row>
    <row r="22" spans="1:25" s="21" customFormat="1" ht="12.75" customHeight="1">
      <c r="A22" s="245" t="s">
        <v>188</v>
      </c>
      <c r="B22" s="246"/>
      <c r="C22" s="246"/>
      <c r="D22" s="246"/>
      <c r="E22" s="246"/>
      <c r="F22" s="246"/>
      <c r="G22" s="246"/>
      <c r="H22" s="246"/>
      <c r="I22" s="246"/>
      <c r="J22" s="223"/>
      <c r="K22" s="223"/>
      <c r="L22" s="223"/>
      <c r="M22" s="223"/>
      <c r="N22" s="223"/>
      <c r="O22" s="223"/>
      <c r="P22" s="223"/>
      <c r="Q22" s="223"/>
      <c r="R22" s="223"/>
      <c r="S22" s="223"/>
      <c r="T22" s="223"/>
      <c r="U22" s="223"/>
      <c r="V22" s="223"/>
      <c r="W22" s="223"/>
      <c r="X22" s="223"/>
      <c r="Y22" s="223"/>
    </row>
    <row r="23" s="21" customFormat="1" ht="6" customHeight="1">
      <c r="A23" s="48"/>
    </row>
    <row r="24" spans="1:24" s="21" customFormat="1" ht="12.75" customHeight="1">
      <c r="A24" s="247" t="s">
        <v>189</v>
      </c>
      <c r="B24" s="247"/>
      <c r="C24" s="248"/>
      <c r="D24" s="248"/>
      <c r="E24" s="248"/>
      <c r="F24" s="248"/>
      <c r="G24" s="248"/>
      <c r="H24" s="248"/>
      <c r="I24" s="248"/>
      <c r="J24" s="248"/>
      <c r="K24" s="248"/>
      <c r="L24" s="248"/>
      <c r="M24" s="248"/>
      <c r="N24" s="248"/>
      <c r="O24" s="248"/>
      <c r="P24" s="248"/>
      <c r="Q24" s="248"/>
      <c r="R24" s="248"/>
      <c r="S24" s="248"/>
      <c r="T24" s="248"/>
      <c r="U24" s="248"/>
      <c r="V24" s="248"/>
      <c r="W24" s="248"/>
      <c r="X24" s="248"/>
    </row>
    <row r="25" spans="1:24" s="21" customFormat="1" ht="6" customHeight="1">
      <c r="A25" s="50"/>
      <c r="B25" s="50"/>
      <c r="C25" s="51"/>
      <c r="D25" s="51"/>
      <c r="E25" s="51"/>
      <c r="F25" s="51"/>
      <c r="G25" s="51"/>
      <c r="H25" s="51"/>
      <c r="I25" s="51"/>
      <c r="J25" s="51"/>
      <c r="K25" s="51"/>
      <c r="L25" s="51"/>
      <c r="M25" s="51"/>
      <c r="N25" s="51"/>
      <c r="O25" s="51"/>
      <c r="P25" s="51"/>
      <c r="Q25" s="51"/>
      <c r="R25" s="51"/>
      <c r="S25" s="51"/>
      <c r="T25" s="51"/>
      <c r="U25" s="51"/>
      <c r="V25" s="51"/>
      <c r="W25" s="51"/>
      <c r="X25" s="51"/>
    </row>
    <row r="26" spans="1:24" s="21" customFormat="1" ht="12.75" customHeight="1">
      <c r="A26" s="243" t="s">
        <v>190</v>
      </c>
      <c r="B26" s="243"/>
      <c r="C26" s="244"/>
      <c r="D26" s="244"/>
      <c r="E26" s="244"/>
      <c r="F26" s="244"/>
      <c r="G26" s="244"/>
      <c r="H26" s="244"/>
      <c r="I26" s="244"/>
      <c r="J26" s="244"/>
      <c r="K26" s="244"/>
      <c r="L26" s="244"/>
      <c r="M26" s="244"/>
      <c r="N26" s="244"/>
      <c r="O26" s="244"/>
      <c r="P26" s="244"/>
      <c r="Q26" s="244"/>
      <c r="R26" s="244"/>
      <c r="S26" s="244"/>
      <c r="T26" s="244"/>
      <c r="U26" s="244"/>
      <c r="V26" s="244"/>
      <c r="W26" s="244"/>
      <c r="X26" s="244"/>
    </row>
    <row r="27" spans="1:8" s="21" customFormat="1" ht="6" customHeight="1">
      <c r="A27" s="25"/>
      <c r="B27" s="25"/>
      <c r="F27" s="23"/>
      <c r="G27" s="23"/>
      <c r="H27" s="23"/>
    </row>
    <row r="28" spans="1:24" ht="12.75" customHeight="1">
      <c r="A28" s="241" t="s">
        <v>176</v>
      </c>
      <c r="B28" s="252"/>
      <c r="C28" s="241" t="s">
        <v>169</v>
      </c>
      <c r="D28" s="242"/>
      <c r="E28" s="252"/>
      <c r="F28" s="241" t="s">
        <v>170</v>
      </c>
      <c r="G28" s="242"/>
      <c r="H28" s="242"/>
      <c r="I28" s="252"/>
      <c r="J28" s="241" t="s">
        <v>171</v>
      </c>
      <c r="K28" s="242"/>
      <c r="L28" s="242"/>
      <c r="M28" s="242"/>
      <c r="N28" s="242"/>
      <c r="O28" s="252"/>
      <c r="P28" s="241" t="s">
        <v>0</v>
      </c>
      <c r="Q28" s="242"/>
      <c r="R28" s="242"/>
      <c r="S28" s="242"/>
      <c r="T28" s="242"/>
      <c r="U28" s="242"/>
      <c r="V28" s="242"/>
      <c r="W28" s="242"/>
      <c r="X28" s="252"/>
    </row>
    <row r="29" spans="1:24" ht="12.75" customHeight="1">
      <c r="A29" s="236" t="s">
        <v>246</v>
      </c>
      <c r="B29" s="253"/>
      <c r="C29" s="236" t="s">
        <v>245</v>
      </c>
      <c r="D29" s="237"/>
      <c r="E29" s="238"/>
      <c r="F29" s="236" t="s">
        <v>247</v>
      </c>
      <c r="G29" s="310"/>
      <c r="H29" s="310"/>
      <c r="I29" s="253"/>
      <c r="J29" s="236" t="s">
        <v>236</v>
      </c>
      <c r="K29" s="310"/>
      <c r="L29" s="310"/>
      <c r="M29" s="310"/>
      <c r="N29" s="310"/>
      <c r="O29" s="253"/>
      <c r="P29" s="236" t="s">
        <v>248</v>
      </c>
      <c r="Q29" s="310"/>
      <c r="R29" s="310"/>
      <c r="S29" s="310"/>
      <c r="T29" s="310"/>
      <c r="U29" s="310"/>
      <c r="V29" s="310"/>
      <c r="W29" s="310"/>
      <c r="X29" s="253"/>
    </row>
    <row r="30" spans="1:22" ht="6" customHeight="1">
      <c r="A30" s="3"/>
      <c r="B30" s="3"/>
      <c r="C30" s="3"/>
      <c r="D30" s="3"/>
      <c r="E30" s="3"/>
      <c r="F30" s="3"/>
      <c r="G30" s="3"/>
      <c r="H30" s="3"/>
      <c r="I30" s="3"/>
      <c r="J30" s="3"/>
      <c r="K30" s="3"/>
      <c r="L30" s="3"/>
      <c r="M30" s="3"/>
      <c r="N30" s="3"/>
      <c r="O30" s="3"/>
      <c r="P30" s="3"/>
      <c r="Q30" s="3"/>
      <c r="R30" s="3"/>
      <c r="S30" s="3"/>
      <c r="T30" s="3"/>
      <c r="U30" s="3"/>
      <c r="V30" s="3"/>
    </row>
    <row r="31" spans="1:24" ht="12.75">
      <c r="A31" s="241" t="s">
        <v>172</v>
      </c>
      <c r="B31" s="242"/>
      <c r="C31" s="242"/>
      <c r="D31" s="242"/>
      <c r="E31" s="242"/>
      <c r="F31" s="252"/>
      <c r="G31" s="241" t="s">
        <v>173</v>
      </c>
      <c r="H31" s="242"/>
      <c r="I31" s="242"/>
      <c r="J31" s="252"/>
      <c r="K31" s="241" t="s">
        <v>174</v>
      </c>
      <c r="L31" s="242"/>
      <c r="M31" s="242"/>
      <c r="N31" s="242"/>
      <c r="O31" s="242"/>
      <c r="P31" s="252"/>
      <c r="Q31" s="241" t="s">
        <v>179</v>
      </c>
      <c r="R31" s="242"/>
      <c r="S31" s="242"/>
      <c r="T31" s="242"/>
      <c r="U31" s="242"/>
      <c r="V31" s="242"/>
      <c r="W31" s="242"/>
      <c r="X31" s="252"/>
    </row>
    <row r="32" spans="1:24" ht="12.75">
      <c r="A32" s="280" t="s">
        <v>230</v>
      </c>
      <c r="B32" s="311"/>
      <c r="C32" s="311"/>
      <c r="D32" s="311"/>
      <c r="E32" s="311"/>
      <c r="F32" s="312"/>
      <c r="G32" s="236" t="s">
        <v>229</v>
      </c>
      <c r="H32" s="237"/>
      <c r="I32" s="237"/>
      <c r="J32" s="238"/>
      <c r="K32" s="236" t="s">
        <v>251</v>
      </c>
      <c r="L32" s="310"/>
      <c r="M32" s="310"/>
      <c r="N32" s="310"/>
      <c r="O32" s="310"/>
      <c r="P32" s="253"/>
      <c r="Q32" s="236" t="s">
        <v>249</v>
      </c>
      <c r="R32" s="310"/>
      <c r="S32" s="310"/>
      <c r="T32" s="310"/>
      <c r="U32" s="310"/>
      <c r="V32" s="310"/>
      <c r="W32" s="310"/>
      <c r="X32" s="253"/>
    </row>
    <row r="33" spans="1:8" s="21" customFormat="1" ht="9" customHeight="1">
      <c r="A33" s="22"/>
      <c r="B33" s="22"/>
      <c r="F33" s="23"/>
      <c r="G33" s="23"/>
      <c r="H33" s="23"/>
    </row>
    <row r="34" s="27" customFormat="1" ht="12.75"/>
    <row r="35" spans="1:24" s="21" customFormat="1" ht="12.75" customHeight="1">
      <c r="A35" s="243" t="s">
        <v>191</v>
      </c>
      <c r="B35" s="243"/>
      <c r="C35" s="244"/>
      <c r="D35" s="244"/>
      <c r="E35" s="244"/>
      <c r="F35" s="244"/>
      <c r="G35" s="244"/>
      <c r="H35" s="244"/>
      <c r="I35" s="244"/>
      <c r="J35" s="244"/>
      <c r="K35" s="244"/>
      <c r="L35" s="244"/>
      <c r="M35" s="244"/>
      <c r="N35" s="244"/>
      <c r="O35" s="244"/>
      <c r="P35" s="244"/>
      <c r="Q35" s="244"/>
      <c r="R35" s="244"/>
      <c r="S35" s="244"/>
      <c r="T35" s="244"/>
      <c r="U35" s="244"/>
      <c r="V35" s="244"/>
      <c r="W35" s="244"/>
      <c r="X35" s="244"/>
    </row>
    <row r="36" spans="1:24" s="21" customFormat="1" ht="6" customHeight="1">
      <c r="A36" s="26"/>
      <c r="B36" s="26"/>
      <c r="C36" s="32"/>
      <c r="D36" s="32"/>
      <c r="E36" s="32"/>
      <c r="F36" s="32"/>
      <c r="G36" s="32"/>
      <c r="H36" s="32"/>
      <c r="I36" s="32"/>
      <c r="J36" s="32"/>
      <c r="K36" s="32"/>
      <c r="L36" s="32"/>
      <c r="M36" s="32"/>
      <c r="N36" s="32"/>
      <c r="O36" s="32"/>
      <c r="P36" s="32"/>
      <c r="Q36" s="32"/>
      <c r="R36" s="32"/>
      <c r="S36" s="32"/>
      <c r="T36" s="32"/>
      <c r="U36" s="32"/>
      <c r="V36" s="32"/>
      <c r="W36" s="32"/>
      <c r="X36" s="32"/>
    </row>
    <row r="37" spans="1:24" s="21" customFormat="1" ht="12.75" customHeight="1">
      <c r="A37" s="241" t="s">
        <v>16</v>
      </c>
      <c r="B37" s="252"/>
      <c r="C37" s="92" t="s">
        <v>91</v>
      </c>
      <c r="D37" s="241" t="s">
        <v>14</v>
      </c>
      <c r="E37" s="242"/>
      <c r="F37" s="252"/>
      <c r="G37" s="241" t="s">
        <v>12</v>
      </c>
      <c r="H37" s="242"/>
      <c r="I37" s="242"/>
      <c r="J37" s="242"/>
      <c r="K37" s="242"/>
      <c r="L37" s="242"/>
      <c r="M37" s="242"/>
      <c r="N37" s="242"/>
      <c r="O37" s="242"/>
      <c r="P37" s="242"/>
      <c r="Q37" s="242"/>
      <c r="R37" s="242"/>
      <c r="S37" s="252"/>
      <c r="T37" s="93" t="s">
        <v>7</v>
      </c>
      <c r="U37" s="93" t="s">
        <v>8</v>
      </c>
      <c r="V37" s="93" t="s">
        <v>9</v>
      </c>
      <c r="W37" s="93" t="s">
        <v>10</v>
      </c>
      <c r="X37" s="93" t="s">
        <v>11</v>
      </c>
    </row>
    <row r="38" spans="1:24" s="21" customFormat="1" ht="12.75" customHeight="1">
      <c r="A38" s="257">
        <v>45017</v>
      </c>
      <c r="B38" s="258"/>
      <c r="C38" s="91" t="s">
        <v>242</v>
      </c>
      <c r="D38" s="236" t="s">
        <v>78</v>
      </c>
      <c r="E38" s="237"/>
      <c r="F38" s="238"/>
      <c r="G38" s="236" t="s">
        <v>250</v>
      </c>
      <c r="H38" s="237"/>
      <c r="I38" s="237"/>
      <c r="J38" s="237"/>
      <c r="K38" s="237"/>
      <c r="L38" s="237"/>
      <c r="M38" s="237"/>
      <c r="N38" s="237"/>
      <c r="O38" s="237"/>
      <c r="P38" s="237"/>
      <c r="Q38" s="237"/>
      <c r="R38" s="237"/>
      <c r="S38" s="238"/>
      <c r="T38" s="95">
        <f ca="1">IF(ISERROR(INDIRECT("'BDI ("&amp;RIGHT(T37,1)&amp;")'!N27")),"",INDIRECT("'BDI ("&amp;RIGHT(T37,1)&amp;")'!N27"))</f>
        <v>0.206</v>
      </c>
      <c r="U38" s="96">
        <f ca="1">IF(ISERROR(INDIRECT("'BDI ("&amp;RIGHT(U37,1)&amp;")'!N27")),"",INDIRECT("'BDI ("&amp;RIGHT(U37,1)&amp;")'!N27"))</f>
        <v>0.1262</v>
      </c>
      <c r="V38" s="96" t="str">
        <f ca="1">IF(ISERROR(INDIRECT("'BDI ("&amp;RIGHT(V37,1)&amp;")'!N27")),"",INDIRECT("'BDI ("&amp;RIGHT(V37,1)&amp;")'!N27"))</f>
        <v/>
      </c>
      <c r="W38" s="96" t="str">
        <f ca="1">IF(ISERROR(INDIRECT("'BDI ("&amp;RIGHT(W37,1)&amp;")'!N27")),"",INDIRECT("'BDI ("&amp;RIGHT(W37,1)&amp;")'!N27"))</f>
        <v/>
      </c>
      <c r="X38" s="96" t="str">
        <f ca="1">IF(ISERROR(INDIRECT("'BDI ("&amp;RIGHT(X37,1)&amp;")'!N27")),"",INDIRECT("'BDI ("&amp;RIGHT(X37,1)&amp;")'!N27"))</f>
        <v/>
      </c>
    </row>
    <row r="39" spans="1:24" s="21" customFormat="1" ht="11.25" customHeight="1">
      <c r="A39" s="26"/>
      <c r="B39" s="26"/>
      <c r="C39" s="32"/>
      <c r="D39" s="32"/>
      <c r="E39" s="32"/>
      <c r="F39" s="32"/>
      <c r="G39" s="32"/>
      <c r="H39" s="32"/>
      <c r="I39" s="32"/>
      <c r="J39" s="32"/>
      <c r="K39" s="32"/>
      <c r="L39" s="32"/>
      <c r="M39" s="32"/>
      <c r="N39" s="32"/>
      <c r="O39" s="32"/>
      <c r="P39" s="32"/>
      <c r="Q39" s="32"/>
      <c r="R39" s="32"/>
      <c r="S39" s="32"/>
      <c r="T39" s="32"/>
      <c r="U39" s="32"/>
      <c r="V39" s="32"/>
      <c r="W39" s="32"/>
      <c r="X39" s="32"/>
    </row>
    <row r="40" spans="1:24" s="21" customFormat="1" ht="12.75" customHeight="1">
      <c r="A40" s="243" t="s">
        <v>161</v>
      </c>
      <c r="B40" s="243"/>
      <c r="C40" s="244"/>
      <c r="D40" s="244"/>
      <c r="E40" s="244"/>
      <c r="F40" s="244"/>
      <c r="G40" s="244"/>
      <c r="H40" s="244"/>
      <c r="I40" s="244"/>
      <c r="J40" s="244"/>
      <c r="K40" s="244"/>
      <c r="L40" s="244"/>
      <c r="M40" s="244"/>
      <c r="N40" s="244"/>
      <c r="O40" s="244"/>
      <c r="P40" s="244"/>
      <c r="Q40" s="244"/>
      <c r="R40" s="244"/>
      <c r="S40" s="244"/>
      <c r="T40" s="244"/>
      <c r="U40" s="244"/>
      <c r="V40" s="244"/>
      <c r="W40" s="244"/>
      <c r="X40" s="244"/>
    </row>
    <row r="41" spans="1:24" s="21" customFormat="1" ht="6" customHeight="1">
      <c r="A41" s="26"/>
      <c r="B41" s="26"/>
      <c r="C41" s="32"/>
      <c r="D41" s="32"/>
      <c r="E41" s="32"/>
      <c r="F41" s="32"/>
      <c r="G41" s="32"/>
      <c r="H41" s="32"/>
      <c r="I41" s="32"/>
      <c r="J41" s="32"/>
      <c r="K41" s="32"/>
      <c r="L41" s="32"/>
      <c r="M41" s="32"/>
      <c r="N41" s="32"/>
      <c r="O41" s="32"/>
      <c r="P41" s="32"/>
      <c r="Q41" s="32"/>
      <c r="R41" s="32"/>
      <c r="S41" s="32"/>
      <c r="T41" s="32"/>
      <c r="U41" s="32"/>
      <c r="V41" s="32"/>
      <c r="W41" s="32"/>
      <c r="X41" s="32"/>
    </row>
    <row r="42" spans="1:24" s="21" customFormat="1" ht="12.75" customHeight="1">
      <c r="A42" s="241" t="s">
        <v>87</v>
      </c>
      <c r="B42" s="252"/>
      <c r="C42" s="241" t="s">
        <v>111</v>
      </c>
      <c r="D42" s="242"/>
      <c r="E42" s="242"/>
      <c r="F42" s="242"/>
      <c r="G42" s="242"/>
      <c r="H42" s="241" t="s">
        <v>16</v>
      </c>
      <c r="I42" s="242"/>
      <c r="J42" s="28" t="s">
        <v>91</v>
      </c>
      <c r="K42" s="241" t="s">
        <v>88</v>
      </c>
      <c r="L42" s="242"/>
      <c r="M42" s="252"/>
      <c r="N42" s="28" t="s">
        <v>92</v>
      </c>
      <c r="O42" s="241" t="s">
        <v>93</v>
      </c>
      <c r="P42" s="242"/>
      <c r="Q42" s="242"/>
      <c r="R42" s="242"/>
      <c r="S42" s="242"/>
      <c r="T42" s="252"/>
      <c r="U42" s="259" t="s">
        <v>89</v>
      </c>
      <c r="V42" s="260"/>
      <c r="W42" s="259" t="s">
        <v>90</v>
      </c>
      <c r="X42" s="260"/>
    </row>
    <row r="43" spans="1:24" s="21" customFormat="1" ht="12.75" customHeight="1">
      <c r="A43" s="280"/>
      <c r="B43" s="281"/>
      <c r="C43" s="236"/>
      <c r="D43" s="237"/>
      <c r="E43" s="237"/>
      <c r="F43" s="237"/>
      <c r="G43" s="237"/>
      <c r="H43" s="257"/>
      <c r="I43" s="258"/>
      <c r="J43" s="88"/>
      <c r="K43" s="313"/>
      <c r="L43" s="314"/>
      <c r="M43" s="315"/>
      <c r="N43" s="104"/>
      <c r="O43" s="268"/>
      <c r="P43" s="269"/>
      <c r="Q43" s="269"/>
      <c r="R43" s="270"/>
      <c r="S43" s="270"/>
      <c r="T43" s="271"/>
      <c r="U43" s="266"/>
      <c r="V43" s="272"/>
      <c r="W43" s="266"/>
      <c r="X43" s="267"/>
    </row>
    <row r="44" spans="1:24" s="21" customFormat="1" ht="12.75" customHeight="1">
      <c r="A44" s="26"/>
      <c r="B44" s="26"/>
      <c r="C44" s="32"/>
      <c r="D44" s="32"/>
      <c r="E44" s="32"/>
      <c r="F44" s="32"/>
      <c r="G44" s="32"/>
      <c r="H44" s="32"/>
      <c r="I44" s="32"/>
      <c r="J44" s="32"/>
      <c r="K44" s="32"/>
      <c r="L44" s="32"/>
      <c r="M44" s="32"/>
      <c r="N44" s="32"/>
      <c r="O44" s="32"/>
      <c r="P44" s="32"/>
      <c r="Q44" s="32"/>
      <c r="R44" s="32"/>
      <c r="S44" s="32"/>
      <c r="T44" s="32"/>
      <c r="U44" s="32"/>
      <c r="V44" s="32"/>
      <c r="W44" s="32"/>
      <c r="X44" s="32"/>
    </row>
    <row r="45" spans="1:24" s="21" customFormat="1" ht="12.75" customHeight="1">
      <c r="A45" s="243" t="s">
        <v>192</v>
      </c>
      <c r="B45" s="243"/>
      <c r="C45" s="244"/>
      <c r="D45" s="244"/>
      <c r="E45" s="244"/>
      <c r="F45" s="244"/>
      <c r="G45" s="244"/>
      <c r="H45" s="244"/>
      <c r="I45" s="244"/>
      <c r="J45" s="244"/>
      <c r="K45" s="244"/>
      <c r="L45" s="244"/>
      <c r="M45" s="244"/>
      <c r="N45" s="244"/>
      <c r="O45" s="244"/>
      <c r="P45" s="244"/>
      <c r="Q45" s="244"/>
      <c r="R45" s="244"/>
      <c r="S45" s="244"/>
      <c r="T45" s="244"/>
      <c r="U45" s="244"/>
      <c r="V45" s="244"/>
      <c r="W45" s="244"/>
      <c r="X45" s="244"/>
    </row>
    <row r="46" spans="1:24" s="21" customFormat="1" ht="6" customHeight="1">
      <c r="A46" s="26"/>
      <c r="B46" s="26"/>
      <c r="C46" s="32"/>
      <c r="D46" s="32"/>
      <c r="E46" s="32"/>
      <c r="F46" s="32"/>
      <c r="G46" s="32"/>
      <c r="H46" s="32"/>
      <c r="I46" s="32"/>
      <c r="J46" s="32"/>
      <c r="K46" s="32"/>
      <c r="L46" s="32"/>
      <c r="M46" s="32"/>
      <c r="N46" s="32"/>
      <c r="O46" s="32"/>
      <c r="P46" s="32"/>
      <c r="Q46" s="32"/>
      <c r="R46" s="32"/>
      <c r="S46" s="32"/>
      <c r="T46" s="32"/>
      <c r="U46" s="32"/>
      <c r="V46" s="32"/>
      <c r="W46" s="32"/>
      <c r="X46" s="32"/>
    </row>
    <row r="47" spans="1:3" s="21" customFormat="1" ht="12.75">
      <c r="A47" s="28" t="s">
        <v>15</v>
      </c>
      <c r="B47" s="29"/>
      <c r="C47" s="30"/>
    </row>
    <row r="48" spans="1:5" s="21" customFormat="1" ht="12.75">
      <c r="A48" s="294">
        <v>45231</v>
      </c>
      <c r="B48" s="295"/>
      <c r="C48" s="296"/>
      <c r="E48" s="37"/>
    </row>
    <row r="49" spans="1:8" s="21" customFormat="1" ht="12.75">
      <c r="A49" s="22"/>
      <c r="B49" s="22"/>
      <c r="F49" s="33"/>
      <c r="G49" s="34"/>
      <c r="H49" s="35"/>
    </row>
    <row r="50" spans="1:24" s="21" customFormat="1" ht="12.75">
      <c r="A50" s="243" t="s">
        <v>193</v>
      </c>
      <c r="B50" s="243"/>
      <c r="C50" s="244"/>
      <c r="D50" s="244"/>
      <c r="E50" s="244"/>
      <c r="F50" s="244"/>
      <c r="G50" s="244"/>
      <c r="H50" s="244"/>
      <c r="I50" s="244"/>
      <c r="J50" s="244"/>
      <c r="K50" s="244"/>
      <c r="L50" s="244"/>
      <c r="M50" s="244"/>
      <c r="N50" s="244"/>
      <c r="O50" s="244"/>
      <c r="P50" s="244"/>
      <c r="Q50" s="244"/>
      <c r="R50" s="244"/>
      <c r="S50" s="244"/>
      <c r="T50" s="244"/>
      <c r="U50" s="244"/>
      <c r="V50" s="244"/>
      <c r="W50" s="244"/>
      <c r="X50" s="244"/>
    </row>
    <row r="51" spans="1:24" s="21" customFormat="1" ht="12.75">
      <c r="A51" s="26"/>
      <c r="B51" s="26"/>
      <c r="C51" s="32"/>
      <c r="D51" s="32"/>
      <c r="E51" s="32"/>
      <c r="F51" s="32"/>
      <c r="G51" s="32"/>
      <c r="H51" s="32"/>
      <c r="I51" s="32"/>
      <c r="J51" s="32"/>
      <c r="K51" s="32"/>
      <c r="L51" s="32"/>
      <c r="M51"/>
      <c r="N51"/>
      <c r="O51"/>
      <c r="P51"/>
      <c r="Q51"/>
      <c r="R51"/>
      <c r="S51"/>
      <c r="T51"/>
      <c r="U51"/>
      <c r="V51"/>
      <c r="W51"/>
      <c r="X51"/>
    </row>
    <row r="52" spans="1:24" s="21" customFormat="1" ht="12.75">
      <c r="A52" s="26"/>
      <c r="B52" s="26"/>
      <c r="C52" s="32"/>
      <c r="D52" s="32"/>
      <c r="E52" s="32"/>
      <c r="F52" s="32"/>
      <c r="G52" s="8" t="s">
        <v>18</v>
      </c>
      <c r="H52" s="32"/>
      <c r="I52" s="32"/>
      <c r="K52" s="86" t="s">
        <v>410</v>
      </c>
      <c r="L52" s="32"/>
      <c r="M52"/>
      <c r="N52"/>
      <c r="O52"/>
      <c r="P52"/>
      <c r="Q52"/>
      <c r="R52"/>
      <c r="S52"/>
      <c r="T52"/>
      <c r="U52"/>
      <c r="V52"/>
      <c r="W52"/>
      <c r="X52"/>
    </row>
    <row r="53" spans="1:24" s="21" customFormat="1" ht="12.75">
      <c r="A53" s="39"/>
      <c r="B53" s="39"/>
      <c r="C53" s="40"/>
      <c r="D53" s="40"/>
      <c r="E53" s="40"/>
      <c r="F53" s="33"/>
      <c r="G53" s="39"/>
      <c r="H53" s="39"/>
      <c r="I53" s="40"/>
      <c r="J53" s="40"/>
      <c r="K53" s="40"/>
      <c r="L53" s="2"/>
      <c r="M53"/>
      <c r="N53"/>
      <c r="O53"/>
      <c r="P53"/>
      <c r="Q53"/>
      <c r="R53"/>
      <c r="S53"/>
      <c r="T53"/>
      <c r="U53"/>
      <c r="V53"/>
      <c r="W53"/>
      <c r="X53"/>
    </row>
    <row r="54" spans="1:24" s="21" customFormat="1" ht="12.75">
      <c r="A54" s="101" t="s">
        <v>140</v>
      </c>
      <c r="B54" s="297" t="s">
        <v>237</v>
      </c>
      <c r="C54" s="298"/>
      <c r="D54" s="298"/>
      <c r="E54" s="298"/>
      <c r="F54" s="33"/>
      <c r="G54" s="101" t="s">
        <v>140</v>
      </c>
      <c r="H54" s="297" t="s">
        <v>244</v>
      </c>
      <c r="I54" s="298"/>
      <c r="J54" s="298"/>
      <c r="K54" s="298"/>
      <c r="L54" s="2"/>
      <c r="M54"/>
      <c r="N54"/>
      <c r="O54"/>
      <c r="P54"/>
      <c r="Q54"/>
      <c r="R54"/>
      <c r="S54"/>
      <c r="T54"/>
      <c r="U54"/>
      <c r="V54"/>
      <c r="W54"/>
      <c r="X54"/>
    </row>
    <row r="55" spans="1:24" s="21" customFormat="1" ht="12.75">
      <c r="A55" s="101" t="str">
        <f>IF(OR(TipoOrçamento="BASE",TipoOrçamento="REPROGRAMADONPL"),"Título:","Cargo:")</f>
        <v>Título:</v>
      </c>
      <c r="B55" s="297" t="s">
        <v>238</v>
      </c>
      <c r="C55" s="298"/>
      <c r="D55" s="298"/>
      <c r="E55" s="298"/>
      <c r="F55" s="33"/>
      <c r="G55" s="101" t="str">
        <f>A55</f>
        <v>Título:</v>
      </c>
      <c r="H55" s="297" t="s">
        <v>411</v>
      </c>
      <c r="I55" s="298"/>
      <c r="J55" s="298"/>
      <c r="K55" s="298"/>
      <c r="L55" s="2"/>
      <c r="M55"/>
      <c r="N55"/>
      <c r="O55"/>
      <c r="P55"/>
      <c r="Q55"/>
      <c r="R55"/>
      <c r="S55"/>
      <c r="T55"/>
      <c r="U55"/>
      <c r="V55"/>
      <c r="W55"/>
      <c r="X55"/>
    </row>
    <row r="56" spans="1:24" s="21" customFormat="1" ht="12.75">
      <c r="A56" s="101" t="str">
        <f>IF(OR(TipoOrçamento="BASE",TipoOrçamento="REPROGRAMADONPL"),"CREA/CAU:","Empresa:")</f>
        <v>CREA/CAU:</v>
      </c>
      <c r="B56" s="279" t="s">
        <v>239</v>
      </c>
      <c r="C56" s="265"/>
      <c r="D56" s="265"/>
      <c r="E56" s="265"/>
      <c r="F56" s="33"/>
      <c r="G56" s="101" t="str">
        <f>A56</f>
        <v>CREA/CAU:</v>
      </c>
      <c r="H56" s="265"/>
      <c r="I56" s="265"/>
      <c r="J56" s="265"/>
      <c r="K56" s="265"/>
      <c r="L56" s="2"/>
      <c r="M56"/>
      <c r="N56"/>
      <c r="O56"/>
      <c r="P56"/>
      <c r="Q56"/>
      <c r="R56"/>
      <c r="S56"/>
      <c r="T56"/>
      <c r="U56"/>
      <c r="V56"/>
      <c r="W56"/>
      <c r="X56"/>
    </row>
    <row r="57" spans="1:24" s="21" customFormat="1" ht="12.75">
      <c r="A57" s="101" t="str">
        <f>IF(OR(TipoOrçamento="BASE",TipoOrçamento="REPROGRAMADONPL"),"ART/RRT:","CNPJ:")</f>
        <v>ART/RRT:</v>
      </c>
      <c r="B57" s="279"/>
      <c r="C57" s="265"/>
      <c r="D57" s="265"/>
      <c r="E57" s="265"/>
      <c r="F57" s="33"/>
      <c r="G57" s="101" t="str">
        <f>A57</f>
        <v>ART/RRT:</v>
      </c>
      <c r="H57" s="265"/>
      <c r="I57" s="265"/>
      <c r="J57" s="265"/>
      <c r="K57" s="265"/>
      <c r="L57" s="2"/>
      <c r="M57"/>
      <c r="N57"/>
      <c r="O57"/>
      <c r="P57"/>
      <c r="Q57"/>
      <c r="R57"/>
      <c r="S57"/>
      <c r="T57"/>
      <c r="U57"/>
      <c r="V57"/>
      <c r="W57"/>
      <c r="X57"/>
    </row>
    <row r="58" spans="1:24" s="21" customFormat="1" ht="12.75">
      <c r="A58" s="22"/>
      <c r="B58" s="22"/>
      <c r="F58" s="33"/>
      <c r="G58" s="34"/>
      <c r="H58" s="35"/>
      <c r="M58"/>
      <c r="N58"/>
      <c r="O58"/>
      <c r="P58"/>
      <c r="Q58"/>
      <c r="R58"/>
      <c r="S58"/>
      <c r="T58"/>
      <c r="U58"/>
      <c r="V58"/>
      <c r="W58"/>
      <c r="X58"/>
    </row>
    <row r="59" spans="1:24" s="21" customFormat="1" ht="12.75">
      <c r="A59" s="22"/>
      <c r="B59" s="22"/>
      <c r="F59" s="33"/>
      <c r="G59" s="34"/>
      <c r="H59" s="35"/>
      <c r="M59"/>
      <c r="N59"/>
      <c r="O59"/>
      <c r="P59"/>
      <c r="Q59"/>
      <c r="R59"/>
      <c r="S59"/>
      <c r="T59"/>
      <c r="U59"/>
      <c r="V59"/>
      <c r="W59"/>
      <c r="X59"/>
    </row>
    <row r="60" spans="1:24" s="21" customFormat="1" ht="12.75" customHeight="1">
      <c r="A60" s="247" t="s">
        <v>194</v>
      </c>
      <c r="B60" s="247"/>
      <c r="C60" s="248"/>
      <c r="D60" s="248"/>
      <c r="E60" s="248"/>
      <c r="F60" s="248"/>
      <c r="G60" s="248"/>
      <c r="H60" s="248"/>
      <c r="I60" s="248"/>
      <c r="J60" s="248"/>
      <c r="K60" s="248"/>
      <c r="L60" s="248"/>
      <c r="M60" s="248"/>
      <c r="N60" s="248"/>
      <c r="O60" s="248"/>
      <c r="P60" s="248"/>
      <c r="Q60" s="248"/>
      <c r="R60" s="248"/>
      <c r="S60" s="248"/>
      <c r="T60" s="248"/>
      <c r="U60" s="248"/>
      <c r="V60" s="248"/>
      <c r="W60" s="248"/>
      <c r="X60" s="248"/>
    </row>
    <row r="61" spans="1:24" s="21" customFormat="1" ht="12.75">
      <c r="A61" s="50"/>
      <c r="B61" s="50"/>
      <c r="C61" s="51"/>
      <c r="D61" s="51"/>
      <c r="E61" s="51"/>
      <c r="F61" s="51"/>
      <c r="G61" s="51"/>
      <c r="H61" s="51"/>
      <c r="I61" s="51"/>
      <c r="J61" s="51"/>
      <c r="K61" s="51"/>
      <c r="L61" s="51"/>
      <c r="M61" s="51"/>
      <c r="N61" s="51"/>
      <c r="O61" s="51"/>
      <c r="P61" s="51"/>
      <c r="Q61" s="51"/>
      <c r="R61" s="51"/>
      <c r="S61" s="51"/>
      <c r="T61" s="51"/>
      <c r="U61" s="51"/>
      <c r="V61" s="51"/>
      <c r="W61" s="51"/>
      <c r="X61" s="51"/>
    </row>
    <row r="62" spans="1:24" s="161" customFormat="1" ht="12.75" customHeight="1">
      <c r="A62" s="254" t="s">
        <v>195</v>
      </c>
      <c r="B62" s="255"/>
      <c r="C62" s="256"/>
      <c r="D62" s="256"/>
      <c r="E62" s="256"/>
      <c r="F62" s="256"/>
      <c r="G62" s="256"/>
      <c r="H62" s="256"/>
      <c r="I62" s="256"/>
      <c r="J62" s="256"/>
      <c r="K62" s="256"/>
      <c r="L62" s="256"/>
      <c r="M62" s="256"/>
      <c r="N62" s="256"/>
      <c r="O62" s="256"/>
      <c r="P62" s="256"/>
      <c r="Q62" s="256"/>
      <c r="R62" s="256"/>
      <c r="S62" s="256"/>
      <c r="T62" s="256"/>
      <c r="U62" s="256"/>
      <c r="V62" s="256"/>
      <c r="W62" s="256"/>
      <c r="X62" s="256"/>
    </row>
    <row r="63" spans="1:24" s="21" customFormat="1" ht="30" customHeight="1">
      <c r="A63" s="254" t="s">
        <v>196</v>
      </c>
      <c r="B63" s="254"/>
      <c r="C63" s="299"/>
      <c r="D63" s="299"/>
      <c r="E63" s="299"/>
      <c r="F63" s="299"/>
      <c r="G63" s="299"/>
      <c r="H63" s="299"/>
      <c r="I63" s="299"/>
      <c r="J63" s="299"/>
      <c r="K63" s="299"/>
      <c r="L63" s="299"/>
      <c r="M63" s="299"/>
      <c r="N63" s="299"/>
      <c r="O63" s="299"/>
      <c r="P63" s="299"/>
      <c r="Q63" s="299"/>
      <c r="R63" s="299"/>
      <c r="S63" s="299"/>
      <c r="T63" s="299"/>
      <c r="U63" s="299"/>
      <c r="V63" s="299"/>
      <c r="W63" s="299"/>
      <c r="X63" s="299"/>
    </row>
    <row r="64" spans="1:24" s="21" customFormat="1" ht="12.75">
      <c r="A64" s="22"/>
      <c r="B64" s="22"/>
      <c r="F64" s="33"/>
      <c r="G64" s="34"/>
      <c r="H64" s="35"/>
      <c r="M64"/>
      <c r="N64"/>
      <c r="O64"/>
      <c r="P64"/>
      <c r="Q64"/>
      <c r="R64"/>
      <c r="S64"/>
      <c r="T64"/>
      <c r="U64"/>
      <c r="V64"/>
      <c r="W64"/>
      <c r="X64"/>
    </row>
    <row r="65" spans="1:24" s="21" customFormat="1" ht="12.75" customHeight="1">
      <c r="A65" s="247" t="s">
        <v>197</v>
      </c>
      <c r="B65" s="247"/>
      <c r="C65" s="248"/>
      <c r="D65" s="248"/>
      <c r="E65" s="248"/>
      <c r="F65" s="248"/>
      <c r="G65" s="248"/>
      <c r="H65" s="248"/>
      <c r="I65" s="248"/>
      <c r="J65" s="248"/>
      <c r="K65" s="248"/>
      <c r="L65" s="248"/>
      <c r="M65" s="248"/>
      <c r="N65" s="248"/>
      <c r="O65" s="248"/>
      <c r="P65" s="248"/>
      <c r="Q65" s="248"/>
      <c r="R65" s="248"/>
      <c r="S65" s="248"/>
      <c r="T65" s="248"/>
      <c r="U65" s="248"/>
      <c r="V65" s="248"/>
      <c r="W65" s="248"/>
      <c r="X65" s="248"/>
    </row>
    <row r="66" spans="1:24" s="21" customFormat="1" ht="12.75">
      <c r="A66" s="50"/>
      <c r="B66" s="50"/>
      <c r="C66" s="51"/>
      <c r="D66" s="51"/>
      <c r="E66" s="51"/>
      <c r="F66" s="51"/>
      <c r="G66" s="51"/>
      <c r="H66" s="51"/>
      <c r="I66" s="51"/>
      <c r="J66" s="51"/>
      <c r="K66" s="51"/>
      <c r="L66" s="51"/>
      <c r="M66" s="51"/>
      <c r="N66" s="51"/>
      <c r="O66" s="51"/>
      <c r="P66" s="51"/>
      <c r="Q66" s="51"/>
      <c r="R66" s="51"/>
      <c r="S66" s="51"/>
      <c r="T66" s="51"/>
      <c r="U66" s="51"/>
      <c r="V66" s="51"/>
      <c r="W66" s="51"/>
      <c r="X66" s="51"/>
    </row>
    <row r="67" spans="1:24" s="21" customFormat="1" ht="12.75" customHeight="1">
      <c r="A67" s="243" t="s">
        <v>198</v>
      </c>
      <c r="B67" s="243"/>
      <c r="C67" s="244"/>
      <c r="D67" s="244"/>
      <c r="E67" s="244"/>
      <c r="F67" s="244"/>
      <c r="G67" s="244"/>
      <c r="H67" s="244"/>
      <c r="I67" s="244"/>
      <c r="J67" s="244"/>
      <c r="K67" s="244"/>
      <c r="L67" s="244"/>
      <c r="M67" s="244"/>
      <c r="N67" s="244"/>
      <c r="O67" s="244"/>
      <c r="P67" s="244"/>
      <c r="Q67" s="244"/>
      <c r="R67" s="244"/>
      <c r="S67" s="244"/>
      <c r="T67" s="244"/>
      <c r="U67" s="244"/>
      <c r="V67" s="244"/>
      <c r="W67" s="244"/>
      <c r="X67" s="244"/>
    </row>
    <row r="68" spans="1:24" s="21" customFormat="1" ht="12.75">
      <c r="A68" s="243" t="s">
        <v>199</v>
      </c>
      <c r="B68" s="243"/>
      <c r="C68" s="244"/>
      <c r="D68" s="244"/>
      <c r="E68" s="244"/>
      <c r="F68" s="244"/>
      <c r="G68" s="244"/>
      <c r="H68" s="244"/>
      <c r="I68" s="244"/>
      <c r="J68" s="244"/>
      <c r="K68" s="244"/>
      <c r="L68" s="244"/>
      <c r="M68" s="244"/>
      <c r="N68" s="244"/>
      <c r="O68" s="244"/>
      <c r="P68" s="244"/>
      <c r="Q68" s="244"/>
      <c r="R68" s="244"/>
      <c r="S68" s="244"/>
      <c r="T68" s="244"/>
      <c r="U68" s="244"/>
      <c r="V68" s="244"/>
      <c r="W68" s="244"/>
      <c r="X68" s="244"/>
    </row>
    <row r="69" spans="1:24" s="21" customFormat="1" ht="12.75" customHeight="1">
      <c r="A69" s="243" t="s">
        <v>200</v>
      </c>
      <c r="B69" s="243"/>
      <c r="C69" s="244"/>
      <c r="D69" s="244"/>
      <c r="E69" s="244"/>
      <c r="F69" s="244"/>
      <c r="G69" s="244"/>
      <c r="H69" s="244"/>
      <c r="I69" s="244"/>
      <c r="J69" s="244"/>
      <c r="K69" s="244"/>
      <c r="L69" s="244"/>
      <c r="M69" s="244"/>
      <c r="N69" s="244"/>
      <c r="O69" s="244"/>
      <c r="P69" s="244"/>
      <c r="Q69" s="244"/>
      <c r="R69" s="244"/>
      <c r="S69" s="244"/>
      <c r="T69" s="244"/>
      <c r="U69" s="244"/>
      <c r="V69" s="244"/>
      <c r="W69" s="244"/>
      <c r="X69" s="244"/>
    </row>
    <row r="70" spans="1:24" s="21" customFormat="1" ht="12.75" customHeight="1">
      <c r="A70" s="243" t="s">
        <v>201</v>
      </c>
      <c r="B70" s="243"/>
      <c r="C70" s="244"/>
      <c r="D70" s="244"/>
      <c r="E70" s="244"/>
      <c r="F70" s="244"/>
      <c r="G70" s="244"/>
      <c r="H70" s="244"/>
      <c r="I70" s="244"/>
      <c r="J70" s="244"/>
      <c r="K70" s="244"/>
      <c r="L70" s="244"/>
      <c r="M70" s="244"/>
      <c r="N70" s="244"/>
      <c r="O70" s="244"/>
      <c r="P70" s="244"/>
      <c r="Q70" s="244"/>
      <c r="R70" s="244"/>
      <c r="S70" s="244"/>
      <c r="T70" s="244"/>
      <c r="U70" s="244"/>
      <c r="V70" s="244"/>
      <c r="W70" s="244"/>
      <c r="X70" s="244"/>
    </row>
    <row r="71" spans="1:24" s="21" customFormat="1" ht="12.75" customHeight="1">
      <c r="A71" s="243" t="s">
        <v>202</v>
      </c>
      <c r="B71" s="243"/>
      <c r="C71" s="244"/>
      <c r="D71" s="244"/>
      <c r="E71" s="244"/>
      <c r="F71" s="244"/>
      <c r="G71" s="244"/>
      <c r="H71" s="244"/>
      <c r="I71" s="244"/>
      <c r="J71" s="244"/>
      <c r="K71" s="244"/>
      <c r="L71" s="244"/>
      <c r="M71" s="244"/>
      <c r="N71" s="244"/>
      <c r="O71" s="244"/>
      <c r="P71" s="244"/>
      <c r="Q71" s="244"/>
      <c r="R71" s="244"/>
      <c r="S71" s="244"/>
      <c r="T71" s="244"/>
      <c r="U71" s="244"/>
      <c r="V71" s="244"/>
      <c r="W71" s="244"/>
      <c r="X71" s="244"/>
    </row>
    <row r="72" spans="1:24" s="21" customFormat="1" ht="12.75" customHeight="1">
      <c r="A72" s="243" t="s">
        <v>203</v>
      </c>
      <c r="B72" s="243"/>
      <c r="C72" s="244"/>
      <c r="D72" s="244"/>
      <c r="E72" s="244"/>
      <c r="F72" s="244"/>
      <c r="G72" s="244"/>
      <c r="H72" s="244"/>
      <c r="I72" s="244"/>
      <c r="J72" s="244"/>
      <c r="K72" s="244"/>
      <c r="L72" s="244"/>
      <c r="M72" s="244"/>
      <c r="N72" s="244"/>
      <c r="O72" s="244"/>
      <c r="P72" s="244"/>
      <c r="Q72" s="244"/>
      <c r="R72" s="244"/>
      <c r="S72" s="244"/>
      <c r="T72" s="244"/>
      <c r="U72" s="244"/>
      <c r="V72" s="244"/>
      <c r="W72" s="244"/>
      <c r="X72" s="244"/>
    </row>
    <row r="73" spans="1:8" s="21" customFormat="1" ht="12.75">
      <c r="A73" s="22"/>
      <c r="B73" s="22"/>
      <c r="F73" s="33"/>
      <c r="G73" s="34"/>
      <c r="H73" s="35"/>
    </row>
    <row r="74" spans="1:24" s="21" customFormat="1" ht="12.75" customHeight="1">
      <c r="A74" s="247" t="s">
        <v>204</v>
      </c>
      <c r="B74" s="247"/>
      <c r="C74" s="248"/>
      <c r="D74" s="248"/>
      <c r="E74" s="248"/>
      <c r="F74" s="248"/>
      <c r="G74" s="248"/>
      <c r="H74" s="248"/>
      <c r="I74" s="248"/>
      <c r="J74" s="248"/>
      <c r="K74" s="248"/>
      <c r="L74" s="248"/>
      <c r="M74" s="248"/>
      <c r="N74" s="248"/>
      <c r="O74" s="248"/>
      <c r="P74" s="248"/>
      <c r="Q74" s="248"/>
      <c r="R74" s="248"/>
      <c r="S74" s="248"/>
      <c r="T74" s="248"/>
      <c r="U74" s="248"/>
      <c r="V74" s="248"/>
      <c r="W74" s="248"/>
      <c r="X74" s="248"/>
    </row>
    <row r="75" spans="1:24" s="21" customFormat="1" ht="12.75">
      <c r="A75" s="50"/>
      <c r="B75" s="50"/>
      <c r="C75" s="51"/>
      <c r="D75" s="51"/>
      <c r="E75" s="51"/>
      <c r="F75" s="51"/>
      <c r="G75" s="51"/>
      <c r="H75" s="51"/>
      <c r="I75" s="51"/>
      <c r="J75" s="51"/>
      <c r="K75" s="51"/>
      <c r="L75" s="51"/>
      <c r="M75" s="51"/>
      <c r="N75" s="51"/>
      <c r="O75" s="51"/>
      <c r="P75" s="51"/>
      <c r="Q75" s="51"/>
      <c r="R75" s="51"/>
      <c r="S75" s="51"/>
      <c r="T75" s="51"/>
      <c r="U75" s="51"/>
      <c r="V75" s="51"/>
      <c r="W75" s="51"/>
      <c r="X75" s="51"/>
    </row>
    <row r="76" spans="1:24" s="21" customFormat="1" ht="12.75" customHeight="1">
      <c r="A76" s="243" t="s">
        <v>205</v>
      </c>
      <c r="B76" s="243"/>
      <c r="C76" s="244"/>
      <c r="D76" s="244"/>
      <c r="E76" s="244"/>
      <c r="F76" s="244"/>
      <c r="G76" s="244"/>
      <c r="H76" s="244"/>
      <c r="I76" s="244"/>
      <c r="J76" s="244"/>
      <c r="K76" s="244"/>
      <c r="L76" s="244"/>
      <c r="M76" s="244"/>
      <c r="N76" s="244"/>
      <c r="O76" s="244"/>
      <c r="P76" s="244"/>
      <c r="Q76" s="244"/>
      <c r="R76" s="244"/>
      <c r="S76" s="244"/>
      <c r="T76" s="244"/>
      <c r="U76" s="244"/>
      <c r="V76" s="244"/>
      <c r="W76" s="244"/>
      <c r="X76" s="244"/>
    </row>
    <row r="77" spans="1:24" s="21" customFormat="1" ht="26.1" customHeight="1">
      <c r="A77" s="239" t="s">
        <v>206</v>
      </c>
      <c r="B77" s="239"/>
      <c r="C77" s="240"/>
      <c r="D77" s="240"/>
      <c r="E77" s="240"/>
      <c r="F77" s="240"/>
      <c r="G77" s="240"/>
      <c r="H77" s="240"/>
      <c r="I77" s="240"/>
      <c r="J77" s="240"/>
      <c r="K77" s="240"/>
      <c r="L77" s="240"/>
      <c r="M77" s="240"/>
      <c r="N77" s="240"/>
      <c r="O77" s="240"/>
      <c r="P77" s="240"/>
      <c r="Q77" s="240"/>
      <c r="R77" s="240"/>
      <c r="S77" s="240"/>
      <c r="T77" s="240"/>
      <c r="U77" s="240"/>
      <c r="V77" s="240"/>
      <c r="W77" s="240"/>
      <c r="X77" s="240"/>
    </row>
    <row r="78" spans="1:24" s="21" customFormat="1" ht="12.75" customHeight="1">
      <c r="A78" s="243" t="s">
        <v>207</v>
      </c>
      <c r="B78" s="243"/>
      <c r="C78" s="244"/>
      <c r="D78" s="244"/>
      <c r="E78" s="244"/>
      <c r="F78" s="244"/>
      <c r="G78" s="244"/>
      <c r="H78" s="244"/>
      <c r="I78" s="244"/>
      <c r="J78" s="244"/>
      <c r="K78" s="244"/>
      <c r="L78" s="244"/>
      <c r="M78" s="244"/>
      <c r="N78" s="244"/>
      <c r="O78" s="244"/>
      <c r="P78" s="244"/>
      <c r="Q78" s="244"/>
      <c r="R78" s="244"/>
      <c r="S78" s="244"/>
      <c r="T78" s="244"/>
      <c r="U78" s="244"/>
      <c r="V78" s="244"/>
      <c r="W78" s="244"/>
      <c r="X78" s="244"/>
    </row>
    <row r="79" spans="1:24" s="21" customFormat="1" ht="25.5" customHeight="1">
      <c r="A79" s="243" t="s">
        <v>208</v>
      </c>
      <c r="B79" s="243"/>
      <c r="C79" s="244"/>
      <c r="D79" s="244"/>
      <c r="E79" s="244"/>
      <c r="F79" s="244"/>
      <c r="G79" s="244"/>
      <c r="H79" s="244"/>
      <c r="I79" s="244"/>
      <c r="J79" s="244"/>
      <c r="K79" s="244"/>
      <c r="L79" s="244"/>
      <c r="M79" s="244"/>
      <c r="N79" s="244"/>
      <c r="O79" s="244"/>
      <c r="P79" s="244"/>
      <c r="Q79" s="244"/>
      <c r="R79" s="244"/>
      <c r="S79" s="244"/>
      <c r="T79" s="244"/>
      <c r="U79" s="244"/>
      <c r="V79" s="244"/>
      <c r="W79" s="244"/>
      <c r="X79" s="244"/>
    </row>
    <row r="80" spans="1:24" s="21" customFormat="1" ht="12.75">
      <c r="A80" s="239" t="s">
        <v>209</v>
      </c>
      <c r="B80" s="239"/>
      <c r="C80" s="240"/>
      <c r="D80" s="240"/>
      <c r="E80" s="240"/>
      <c r="F80" s="240"/>
      <c r="G80" s="240"/>
      <c r="H80" s="240"/>
      <c r="I80" s="240"/>
      <c r="J80" s="240"/>
      <c r="K80" s="240"/>
      <c r="L80" s="240"/>
      <c r="M80" s="240"/>
      <c r="N80" s="240"/>
      <c r="O80" s="240"/>
      <c r="P80" s="240"/>
      <c r="Q80" s="240"/>
      <c r="R80" s="240"/>
      <c r="S80" s="240"/>
      <c r="T80" s="240"/>
      <c r="U80" s="240"/>
      <c r="V80" s="240"/>
      <c r="W80" s="240"/>
      <c r="X80" s="240"/>
    </row>
    <row r="81" spans="1:24" ht="12.75" customHeight="1">
      <c r="A81" s="243" t="s">
        <v>210</v>
      </c>
      <c r="B81" s="243"/>
      <c r="C81" s="244"/>
      <c r="D81" s="244"/>
      <c r="E81" s="244"/>
      <c r="F81" s="244"/>
      <c r="G81" s="244"/>
      <c r="H81" s="244"/>
      <c r="I81" s="244"/>
      <c r="J81" s="244"/>
      <c r="K81" s="244"/>
      <c r="L81" s="244"/>
      <c r="M81" s="244"/>
      <c r="N81" s="244"/>
      <c r="O81" s="244"/>
      <c r="P81" s="244"/>
      <c r="Q81" s="244"/>
      <c r="R81" s="244"/>
      <c r="S81" s="244"/>
      <c r="T81" s="244"/>
      <c r="U81" s="244"/>
      <c r="V81" s="244"/>
      <c r="W81" s="244"/>
      <c r="X81" s="244"/>
    </row>
    <row r="82" spans="1:24" ht="26.1" customHeight="1">
      <c r="A82" s="243" t="s">
        <v>211</v>
      </c>
      <c r="B82" s="243"/>
      <c r="C82" s="244"/>
      <c r="D82" s="244"/>
      <c r="E82" s="244"/>
      <c r="F82" s="244"/>
      <c r="G82" s="244"/>
      <c r="H82" s="244"/>
      <c r="I82" s="244"/>
      <c r="J82" s="244"/>
      <c r="K82" s="244"/>
      <c r="L82" s="244"/>
      <c r="M82" s="244"/>
      <c r="N82" s="244"/>
      <c r="O82" s="244"/>
      <c r="P82" s="244"/>
      <c r="Q82" s="244"/>
      <c r="R82" s="244"/>
      <c r="S82" s="244"/>
      <c r="T82" s="244"/>
      <c r="U82" s="244"/>
      <c r="V82" s="244"/>
      <c r="W82" s="244"/>
      <c r="X82" s="244"/>
    </row>
    <row r="83" spans="1:24" s="21" customFormat="1" ht="26.1" customHeight="1">
      <c r="A83" s="243" t="s">
        <v>212</v>
      </c>
      <c r="B83" s="243"/>
      <c r="C83" s="244"/>
      <c r="D83" s="244"/>
      <c r="E83" s="244"/>
      <c r="F83" s="244"/>
      <c r="G83" s="244"/>
      <c r="H83" s="244"/>
      <c r="I83" s="244"/>
      <c r="J83" s="244"/>
      <c r="K83" s="244"/>
      <c r="L83" s="244"/>
      <c r="M83" s="244"/>
      <c r="N83" s="244"/>
      <c r="O83" s="244"/>
      <c r="P83" s="244"/>
      <c r="Q83" s="244"/>
      <c r="R83" s="244"/>
      <c r="S83" s="244"/>
      <c r="T83" s="244"/>
      <c r="U83" s="244"/>
      <c r="V83" s="244"/>
      <c r="W83" s="244"/>
      <c r="X83" s="244"/>
    </row>
    <row r="84" spans="1:24" s="21" customFormat="1" ht="12.75" customHeight="1">
      <c r="A84" s="243" t="s">
        <v>213</v>
      </c>
      <c r="B84" s="243"/>
      <c r="C84" s="244"/>
      <c r="D84" s="244"/>
      <c r="E84" s="244"/>
      <c r="F84" s="244"/>
      <c r="G84" s="244"/>
      <c r="H84" s="244"/>
      <c r="I84" s="244"/>
      <c r="J84" s="244"/>
      <c r="K84" s="244"/>
      <c r="L84" s="244"/>
      <c r="M84" s="244"/>
      <c r="N84" s="244"/>
      <c r="O84" s="244"/>
      <c r="P84" s="244"/>
      <c r="Q84" s="244"/>
      <c r="R84" s="244"/>
      <c r="S84" s="244"/>
      <c r="T84" s="244"/>
      <c r="U84" s="244"/>
      <c r="V84" s="244"/>
      <c r="W84" s="244"/>
      <c r="X84" s="244"/>
    </row>
    <row r="85" spans="1:24" s="21" customFormat="1" ht="12.75">
      <c r="A85" s="243" t="s">
        <v>214</v>
      </c>
      <c r="B85" s="243"/>
      <c r="C85" s="244"/>
      <c r="D85" s="244"/>
      <c r="E85" s="244"/>
      <c r="F85" s="244"/>
      <c r="G85" s="244"/>
      <c r="H85" s="244"/>
      <c r="I85" s="244"/>
      <c r="J85" s="244"/>
      <c r="K85" s="244"/>
      <c r="L85" s="244"/>
      <c r="M85" s="244"/>
      <c r="N85" s="244"/>
      <c r="O85" s="244"/>
      <c r="P85" s="244"/>
      <c r="Q85" s="244"/>
      <c r="R85" s="244"/>
      <c r="S85" s="244"/>
      <c r="T85" s="244"/>
      <c r="U85" s="244"/>
      <c r="V85" s="244"/>
      <c r="W85" s="244"/>
      <c r="X85" s="244"/>
    </row>
    <row r="86" spans="1:24" ht="12.75" customHeight="1">
      <c r="A86" s="239" t="s">
        <v>215</v>
      </c>
      <c r="B86" s="239"/>
      <c r="C86" s="240"/>
      <c r="D86" s="240"/>
      <c r="E86" s="240"/>
      <c r="F86" s="240"/>
      <c r="G86" s="240"/>
      <c r="H86" s="240"/>
      <c r="I86" s="240"/>
      <c r="J86" s="240"/>
      <c r="K86" s="240"/>
      <c r="L86" s="240"/>
      <c r="M86" s="240"/>
      <c r="N86" s="240"/>
      <c r="O86" s="240"/>
      <c r="P86" s="240"/>
      <c r="Q86" s="240"/>
      <c r="R86" s="240"/>
      <c r="S86" s="240"/>
      <c r="T86" s="240"/>
      <c r="U86" s="240"/>
      <c r="V86" s="240"/>
      <c r="W86" s="240"/>
      <c r="X86" s="240"/>
    </row>
    <row r="87" spans="1:24" ht="12.75">
      <c r="A87" s="243" t="s">
        <v>216</v>
      </c>
      <c r="B87" s="243"/>
      <c r="C87" s="244"/>
      <c r="D87" s="244"/>
      <c r="E87" s="244"/>
      <c r="F87" s="244"/>
      <c r="G87" s="244"/>
      <c r="H87" s="244"/>
      <c r="I87" s="244"/>
      <c r="J87" s="244"/>
      <c r="K87" s="244"/>
      <c r="L87" s="244"/>
      <c r="M87" s="244"/>
      <c r="N87" s="244"/>
      <c r="O87" s="244"/>
      <c r="P87" s="244"/>
      <c r="Q87" s="244"/>
      <c r="R87" s="244"/>
      <c r="S87" s="244"/>
      <c r="T87" s="244"/>
      <c r="U87" s="244"/>
      <c r="V87" s="244"/>
      <c r="W87" s="244"/>
      <c r="X87" s="244"/>
    </row>
    <row r="88" spans="1:24" ht="12.75">
      <c r="A88" s="243" t="s">
        <v>217</v>
      </c>
      <c r="B88" s="243"/>
      <c r="C88" s="244"/>
      <c r="D88" s="244"/>
      <c r="E88" s="244"/>
      <c r="F88" s="244"/>
      <c r="G88" s="244"/>
      <c r="H88" s="244"/>
      <c r="I88" s="244"/>
      <c r="J88" s="244"/>
      <c r="K88" s="244"/>
      <c r="L88" s="244"/>
      <c r="M88" s="244"/>
      <c r="N88" s="244"/>
      <c r="O88" s="244"/>
      <c r="P88" s="244"/>
      <c r="Q88" s="244"/>
      <c r="R88" s="244"/>
      <c r="S88" s="244"/>
      <c r="T88" s="244"/>
      <c r="U88" s="244"/>
      <c r="V88" s="244"/>
      <c r="W88" s="244"/>
      <c r="X88" s="244"/>
    </row>
    <row r="90" spans="1:24" ht="12.75">
      <c r="A90" s="247" t="s">
        <v>218</v>
      </c>
      <c r="B90" s="247"/>
      <c r="C90" s="248"/>
      <c r="D90" s="248"/>
      <c r="E90" s="248"/>
      <c r="F90" s="248"/>
      <c r="G90" s="248"/>
      <c r="H90" s="248"/>
      <c r="I90" s="248"/>
      <c r="J90" s="248"/>
      <c r="K90" s="248"/>
      <c r="L90" s="248"/>
      <c r="M90" s="248"/>
      <c r="N90" s="248"/>
      <c r="O90" s="248"/>
      <c r="P90" s="248"/>
      <c r="Q90" s="248"/>
      <c r="R90" s="248"/>
      <c r="S90" s="248"/>
      <c r="T90" s="248"/>
      <c r="U90" s="248"/>
      <c r="V90" s="248"/>
      <c r="W90" s="248"/>
      <c r="X90" s="248"/>
    </row>
    <row r="91" spans="1:24" ht="12.75">
      <c r="A91" s="50"/>
      <c r="B91" s="50"/>
      <c r="C91" s="51"/>
      <c r="D91" s="51"/>
      <c r="E91" s="51"/>
      <c r="F91" s="51"/>
      <c r="G91" s="51"/>
      <c r="H91" s="51"/>
      <c r="I91" s="51"/>
      <c r="J91" s="51"/>
      <c r="K91" s="51"/>
      <c r="L91" s="51"/>
      <c r="M91" s="51"/>
      <c r="N91" s="51"/>
      <c r="O91" s="51"/>
      <c r="P91" s="51"/>
      <c r="Q91" s="51"/>
      <c r="R91" s="51"/>
      <c r="S91" s="51"/>
      <c r="T91" s="51"/>
      <c r="U91" s="51"/>
      <c r="V91" s="51"/>
      <c r="W91" s="51"/>
      <c r="X91" s="51"/>
    </row>
    <row r="92" spans="1:24" ht="12.75">
      <c r="A92" s="243" t="s">
        <v>219</v>
      </c>
      <c r="B92" s="243"/>
      <c r="C92" s="244"/>
      <c r="D92" s="244"/>
      <c r="E92" s="244"/>
      <c r="F92" s="244"/>
      <c r="G92" s="244"/>
      <c r="H92" s="244"/>
      <c r="I92" s="244"/>
      <c r="J92" s="244"/>
      <c r="K92" s="244"/>
      <c r="L92" s="244"/>
      <c r="M92" s="244"/>
      <c r="N92" s="244"/>
      <c r="O92" s="244"/>
      <c r="P92" s="244"/>
      <c r="Q92" s="244"/>
      <c r="R92" s="244"/>
      <c r="S92" s="244"/>
      <c r="T92" s="244"/>
      <c r="U92" s="244"/>
      <c r="V92" s="244"/>
      <c r="W92" s="244"/>
      <c r="X92" s="244"/>
    </row>
    <row r="93" spans="1:24" ht="12.75" customHeight="1">
      <c r="A93" s="239" t="s">
        <v>220</v>
      </c>
      <c r="B93" s="239"/>
      <c r="C93" s="240"/>
      <c r="D93" s="240"/>
      <c r="E93" s="240"/>
      <c r="F93" s="240"/>
      <c r="G93" s="240"/>
      <c r="H93" s="240"/>
      <c r="I93" s="240"/>
      <c r="J93" s="240"/>
      <c r="K93" s="240"/>
      <c r="L93" s="240"/>
      <c r="M93" s="240"/>
      <c r="N93" s="240"/>
      <c r="O93" s="240"/>
      <c r="P93" s="240"/>
      <c r="Q93" s="240"/>
      <c r="R93" s="240"/>
      <c r="S93" s="240"/>
      <c r="T93" s="240"/>
      <c r="U93" s="240"/>
      <c r="V93" s="240"/>
      <c r="W93" s="240"/>
      <c r="X93" s="240"/>
    </row>
    <row r="94" spans="1:24" ht="12.75" customHeight="1">
      <c r="A94" s="243" t="s">
        <v>221</v>
      </c>
      <c r="B94" s="243"/>
      <c r="C94" s="244"/>
      <c r="D94" s="244"/>
      <c r="E94" s="244"/>
      <c r="F94" s="244"/>
      <c r="G94" s="244"/>
      <c r="H94" s="244"/>
      <c r="I94" s="244"/>
      <c r="J94" s="244"/>
      <c r="K94" s="244"/>
      <c r="L94" s="244"/>
      <c r="M94" s="244"/>
      <c r="N94" s="244"/>
      <c r="O94" s="244"/>
      <c r="P94" s="244"/>
      <c r="Q94" s="244"/>
      <c r="R94" s="244"/>
      <c r="S94" s="244"/>
      <c r="T94" s="244"/>
      <c r="U94" s="244"/>
      <c r="V94" s="244"/>
      <c r="W94" s="244"/>
      <c r="X94" s="244"/>
    </row>
    <row r="95" spans="1:24" ht="12.75">
      <c r="A95" s="243" t="s">
        <v>222</v>
      </c>
      <c r="B95" s="243"/>
      <c r="C95" s="244"/>
      <c r="D95" s="244"/>
      <c r="E95" s="244"/>
      <c r="F95" s="244"/>
      <c r="G95" s="244"/>
      <c r="H95" s="244"/>
      <c r="I95" s="244"/>
      <c r="J95" s="244"/>
      <c r="K95" s="244"/>
      <c r="L95" s="244"/>
      <c r="M95" s="244"/>
      <c r="N95" s="244"/>
      <c r="O95" s="244"/>
      <c r="P95" s="244"/>
      <c r="Q95" s="244"/>
      <c r="R95" s="244"/>
      <c r="S95" s="244"/>
      <c r="T95" s="244"/>
      <c r="U95" s="244"/>
      <c r="V95" s="244"/>
      <c r="W95" s="244"/>
      <c r="X95" s="244"/>
    </row>
    <row r="96" spans="1:24" ht="12.75" customHeight="1">
      <c r="A96" s="239"/>
      <c r="B96" s="239"/>
      <c r="C96" s="240"/>
      <c r="D96" s="240"/>
      <c r="E96" s="240"/>
      <c r="F96" s="240"/>
      <c r="G96" s="240"/>
      <c r="H96" s="240"/>
      <c r="I96" s="240"/>
      <c r="J96" s="240"/>
      <c r="K96" s="240"/>
      <c r="L96" s="240"/>
      <c r="M96" s="240"/>
      <c r="N96" s="240"/>
      <c r="O96" s="240"/>
      <c r="P96" s="240"/>
      <c r="Q96" s="240"/>
      <c r="R96" s="240"/>
      <c r="S96" s="240"/>
      <c r="T96" s="240"/>
      <c r="U96" s="240"/>
      <c r="V96" s="240"/>
      <c r="W96" s="240"/>
      <c r="X96" s="240"/>
    </row>
    <row r="97" spans="1:24" ht="12.75">
      <c r="A97" s="247" t="s">
        <v>223</v>
      </c>
      <c r="B97" s="247"/>
      <c r="C97" s="248"/>
      <c r="D97" s="248"/>
      <c r="E97" s="248"/>
      <c r="F97" s="248"/>
      <c r="G97" s="248"/>
      <c r="H97" s="248"/>
      <c r="I97" s="248"/>
      <c r="J97" s="248"/>
      <c r="K97" s="248"/>
      <c r="L97" s="248"/>
      <c r="M97" s="248"/>
      <c r="N97" s="248"/>
      <c r="O97" s="248"/>
      <c r="P97" s="248"/>
      <c r="Q97" s="248"/>
      <c r="R97" s="248"/>
      <c r="S97" s="248"/>
      <c r="T97" s="248"/>
      <c r="U97" s="248"/>
      <c r="V97" s="248"/>
      <c r="W97" s="248"/>
      <c r="X97" s="248"/>
    </row>
    <row r="98" spans="1:24" ht="12.75" customHeight="1">
      <c r="A98" s="239"/>
      <c r="B98" s="239"/>
      <c r="C98" s="240"/>
      <c r="D98" s="240"/>
      <c r="E98" s="240"/>
      <c r="F98" s="240"/>
      <c r="G98" s="240"/>
      <c r="H98" s="240"/>
      <c r="I98" s="240"/>
      <c r="J98" s="240"/>
      <c r="K98" s="240"/>
      <c r="L98" s="240"/>
      <c r="M98" s="240"/>
      <c r="N98" s="240"/>
      <c r="O98" s="240"/>
      <c r="P98" s="240"/>
      <c r="Q98" s="240"/>
      <c r="R98" s="240"/>
      <c r="S98" s="240"/>
      <c r="T98" s="240"/>
      <c r="U98" s="240"/>
      <c r="V98" s="240"/>
      <c r="W98" s="240"/>
      <c r="X98" s="240"/>
    </row>
    <row r="99" spans="1:24" ht="12.75" customHeight="1">
      <c r="A99" s="243" t="s">
        <v>224</v>
      </c>
      <c r="B99" s="243"/>
      <c r="C99" s="244"/>
      <c r="D99" s="244"/>
      <c r="E99" s="244"/>
      <c r="F99" s="244"/>
      <c r="G99" s="244"/>
      <c r="H99" s="244"/>
      <c r="I99" s="244"/>
      <c r="J99" s="244"/>
      <c r="K99" s="244"/>
      <c r="L99" s="244"/>
      <c r="M99" s="244"/>
      <c r="N99" s="244"/>
      <c r="O99" s="244"/>
      <c r="P99" s="244"/>
      <c r="Q99" s="244"/>
      <c r="R99" s="244"/>
      <c r="S99" s="244"/>
      <c r="T99" s="244"/>
      <c r="U99" s="244"/>
      <c r="V99" s="244"/>
      <c r="W99" s="244"/>
      <c r="X99" s="244"/>
    </row>
    <row r="100" spans="1:24" ht="12.75" customHeight="1">
      <c r="A100" s="243" t="s">
        <v>225</v>
      </c>
      <c r="B100" s="243"/>
      <c r="C100" s="244"/>
      <c r="D100" s="244"/>
      <c r="E100" s="244"/>
      <c r="F100" s="244"/>
      <c r="G100" s="244"/>
      <c r="H100" s="244"/>
      <c r="I100" s="244"/>
      <c r="J100" s="244"/>
      <c r="K100" s="244"/>
      <c r="L100" s="244"/>
      <c r="M100" s="244"/>
      <c r="N100" s="244"/>
      <c r="O100" s="244"/>
      <c r="P100" s="244"/>
      <c r="Q100" s="244"/>
      <c r="R100" s="244"/>
      <c r="S100" s="244"/>
      <c r="T100" s="244"/>
      <c r="U100" s="244"/>
      <c r="V100" s="244"/>
      <c r="W100" s="244"/>
      <c r="X100" s="244"/>
    </row>
    <row r="101" spans="1:24" ht="12.75">
      <c r="A101" s="243" t="s">
        <v>226</v>
      </c>
      <c r="B101" s="243"/>
      <c r="C101" s="244"/>
      <c r="D101" s="244"/>
      <c r="E101" s="244"/>
      <c r="F101" s="244"/>
      <c r="G101" s="244"/>
      <c r="H101" s="244"/>
      <c r="I101" s="244"/>
      <c r="J101" s="244"/>
      <c r="K101" s="244"/>
      <c r="L101" s="244"/>
      <c r="M101" s="244"/>
      <c r="N101" s="244"/>
      <c r="O101" s="244"/>
      <c r="P101" s="244"/>
      <c r="Q101" s="244"/>
      <c r="R101" s="244"/>
      <c r="S101" s="244"/>
      <c r="T101" s="244"/>
      <c r="U101" s="244"/>
      <c r="V101" s="244"/>
      <c r="W101" s="244"/>
      <c r="X101" s="244"/>
    </row>
    <row r="102" spans="1:24" ht="12.75" customHeight="1">
      <c r="A102" s="26"/>
      <c r="B102" s="26"/>
      <c r="C102" s="32"/>
      <c r="D102" s="32"/>
      <c r="E102" s="32"/>
      <c r="F102" s="32"/>
      <c r="G102" s="32"/>
      <c r="H102" s="32"/>
      <c r="I102" s="32"/>
      <c r="J102" s="32"/>
      <c r="K102" s="32"/>
      <c r="L102" s="32"/>
      <c r="M102" s="32"/>
      <c r="N102" s="32"/>
      <c r="O102" s="32"/>
      <c r="P102" s="32"/>
      <c r="Q102" s="32"/>
      <c r="R102" s="32"/>
      <c r="S102" s="32"/>
      <c r="T102" s="32"/>
      <c r="U102" s="32"/>
      <c r="V102" s="32"/>
      <c r="W102" s="32"/>
      <c r="X102" s="32"/>
    </row>
    <row r="103" spans="1:24" ht="12.75" customHeight="1">
      <c r="A103" s="26"/>
      <c r="B103" s="26"/>
      <c r="C103" s="32"/>
      <c r="D103" s="32"/>
      <c r="E103" s="32"/>
      <c r="F103" s="32"/>
      <c r="G103" s="32"/>
      <c r="H103" s="32"/>
      <c r="I103" s="32"/>
      <c r="J103" s="32"/>
      <c r="K103" s="32"/>
      <c r="L103" s="32"/>
      <c r="M103" s="32"/>
      <c r="N103" s="32"/>
      <c r="O103" s="32"/>
      <c r="P103" s="32"/>
      <c r="Q103" s="32"/>
      <c r="R103" s="32"/>
      <c r="S103" s="32"/>
      <c r="T103" s="32"/>
      <c r="U103" s="32"/>
      <c r="V103" s="32"/>
      <c r="W103" s="32"/>
      <c r="X103" s="32"/>
    </row>
    <row r="104" spans="1:24" ht="12.75" customHeight="1">
      <c r="A104" s="26"/>
      <c r="B104" s="26"/>
      <c r="C104" s="32"/>
      <c r="D104" s="32"/>
      <c r="E104" s="32"/>
      <c r="F104" s="32"/>
      <c r="G104" s="32"/>
      <c r="H104" s="32"/>
      <c r="I104" s="32"/>
      <c r="J104" s="32"/>
      <c r="K104" s="32"/>
      <c r="L104" s="32"/>
      <c r="M104" s="32"/>
      <c r="N104" s="32"/>
      <c r="O104" s="32"/>
      <c r="P104" s="32"/>
      <c r="Q104" s="32"/>
      <c r="R104" s="32"/>
      <c r="S104" s="32"/>
      <c r="T104" s="32"/>
      <c r="U104" s="32"/>
      <c r="V104" s="32"/>
      <c r="W104" s="32"/>
      <c r="X104" s="32"/>
    </row>
    <row r="105" spans="1:24" ht="12.75" customHeight="1">
      <c r="A105" s="26"/>
      <c r="B105" s="26"/>
      <c r="C105" s="32"/>
      <c r="D105" s="32"/>
      <c r="E105" s="32"/>
      <c r="F105" s="32"/>
      <c r="G105" s="32"/>
      <c r="H105" s="32"/>
      <c r="I105" s="32"/>
      <c r="J105" s="32"/>
      <c r="K105" s="32"/>
      <c r="L105" s="32"/>
      <c r="M105" s="32"/>
      <c r="N105" s="32"/>
      <c r="O105" s="32"/>
      <c r="P105" s="32"/>
      <c r="Q105" s="32"/>
      <c r="R105" s="32"/>
      <c r="S105" s="32"/>
      <c r="T105" s="32"/>
      <c r="U105" s="32"/>
      <c r="V105" s="32"/>
      <c r="W105" s="32"/>
      <c r="X105" s="32"/>
    </row>
    <row r="106" ht="12.75" customHeight="1"/>
    <row r="107" spans="1:17" ht="12.75">
      <c r="A107"/>
      <c r="E107"/>
      <c r="F107"/>
      <c r="H107" s="38"/>
      <c r="L107" s="82" t="s">
        <v>131</v>
      </c>
      <c r="O107" s="82"/>
      <c r="P107" s="38"/>
      <c r="Q107" s="82"/>
    </row>
    <row r="108" spans="1:19" ht="12.75" customHeight="1">
      <c r="A108"/>
      <c r="E108"/>
      <c r="F108"/>
      <c r="G108" s="31"/>
      <c r="H108" s="31"/>
      <c r="L108" s="82" t="s">
        <v>132</v>
      </c>
      <c r="P108" s="31"/>
      <c r="S108" s="208">
        <f ca="1">T38</f>
        <v>0.206</v>
      </c>
    </row>
    <row r="109" spans="1:19" ht="12.75">
      <c r="A109"/>
      <c r="E109"/>
      <c r="F109"/>
      <c r="G109" s="31"/>
      <c r="H109" s="31"/>
      <c r="L109" s="82" t="s">
        <v>133</v>
      </c>
      <c r="P109" s="31"/>
      <c r="S109" s="208">
        <f ca="1">U38</f>
        <v>0.1262</v>
      </c>
    </row>
    <row r="110" spans="1:19" ht="12.75" customHeight="1">
      <c r="A110"/>
      <c r="E110"/>
      <c r="F110"/>
      <c r="G110" s="31"/>
      <c r="H110" s="31"/>
      <c r="L110" s="82" t="s">
        <v>134</v>
      </c>
      <c r="P110" s="31"/>
      <c r="S110" s="208" t="str">
        <f ca="1">V38</f>
        <v/>
      </c>
    </row>
    <row r="111" spans="1:19" ht="12.75">
      <c r="A111"/>
      <c r="E111"/>
      <c r="F111"/>
      <c r="G111" s="31"/>
      <c r="H111" s="31"/>
      <c r="L111" s="82" t="s">
        <v>135</v>
      </c>
      <c r="P111" s="31"/>
      <c r="S111" s="208" t="str">
        <f ca="1">W38</f>
        <v/>
      </c>
    </row>
    <row r="112" spans="1:19" ht="12.75" customHeight="1">
      <c r="A112"/>
      <c r="E112"/>
      <c r="F112"/>
      <c r="G112" s="31"/>
      <c r="H112" s="31"/>
      <c r="L112" s="82" t="s">
        <v>136</v>
      </c>
      <c r="P112" s="31"/>
      <c r="S112" s="208" t="str">
        <f ca="1">X38</f>
        <v/>
      </c>
    </row>
    <row r="113" spans="1:12" ht="12.75">
      <c r="A113"/>
      <c r="H113" s="38"/>
      <c r="L113" s="82" t="s">
        <v>66</v>
      </c>
    </row>
    <row r="114" spans="1:12" ht="12.75" customHeight="1">
      <c r="A114"/>
      <c r="H114" s="38"/>
      <c r="L114" s="82" t="s">
        <v>67</v>
      </c>
    </row>
    <row r="115" spans="1:16" ht="12.75">
      <c r="A115"/>
      <c r="H115" s="38"/>
      <c r="L115" s="82" t="s">
        <v>68</v>
      </c>
      <c r="P115" s="1" t="s">
        <v>112</v>
      </c>
    </row>
    <row r="116" spans="1:16" ht="12.75">
      <c r="A116"/>
      <c r="H116" s="38"/>
      <c r="L116" s="82" t="s">
        <v>69</v>
      </c>
      <c r="P116" s="1" t="s">
        <v>113</v>
      </c>
    </row>
    <row r="117" spans="1:16" ht="12.75">
      <c r="A117"/>
      <c r="L117" s="82" t="s">
        <v>70</v>
      </c>
      <c r="P117" s="1" t="s">
        <v>114</v>
      </c>
    </row>
    <row r="118" spans="1:16" ht="12.75">
      <c r="A118"/>
      <c r="L118" s="82" t="s">
        <v>71</v>
      </c>
      <c r="P118" s="1" t="s">
        <v>94</v>
      </c>
    </row>
    <row r="119" spans="1:16" ht="12.75">
      <c r="A119"/>
      <c r="L119" s="82" t="s">
        <v>72</v>
      </c>
      <c r="P119" s="1" t="s">
        <v>95</v>
      </c>
    </row>
    <row r="120" spans="1:16" ht="12.75">
      <c r="A120"/>
      <c r="L120" s="82" t="s">
        <v>73</v>
      </c>
      <c r="P120" s="1" t="s">
        <v>96</v>
      </c>
    </row>
    <row r="121" spans="1:12" ht="12.75">
      <c r="A121"/>
      <c r="L121" s="82" t="s">
        <v>74</v>
      </c>
    </row>
    <row r="122" spans="1:16" ht="12.75">
      <c r="A122"/>
      <c r="L122" s="82" t="s">
        <v>75</v>
      </c>
      <c r="P122" s="94" t="s">
        <v>97</v>
      </c>
    </row>
    <row r="123" spans="1:16" ht="12.75">
      <c r="A123"/>
      <c r="L123" s="82" t="s">
        <v>76</v>
      </c>
      <c r="P123" s="94" t="s">
        <v>98</v>
      </c>
    </row>
    <row r="124" spans="1:12" ht="12.75">
      <c r="A124"/>
      <c r="L124" s="82" t="s">
        <v>77</v>
      </c>
    </row>
    <row r="125" spans="1:12" ht="12.75">
      <c r="A125"/>
      <c r="L125" s="82" t="s">
        <v>78</v>
      </c>
    </row>
    <row r="126" spans="1:12" ht="12.75">
      <c r="A126"/>
      <c r="L126" s="82" t="s">
        <v>79</v>
      </c>
    </row>
    <row r="127" spans="1:12" ht="12.75">
      <c r="A127"/>
      <c r="L127" s="82" t="s">
        <v>80</v>
      </c>
    </row>
    <row r="128" spans="1:12" ht="12.75">
      <c r="A128"/>
      <c r="L128" s="82" t="s">
        <v>81</v>
      </c>
    </row>
    <row r="129" spans="1:12" ht="12.75">
      <c r="A129"/>
      <c r="L129" s="82" t="s">
        <v>82</v>
      </c>
    </row>
    <row r="130" spans="1:12" ht="12.75">
      <c r="A130"/>
      <c r="L130" s="82" t="s">
        <v>83</v>
      </c>
    </row>
    <row r="131" spans="1:12" ht="12.75">
      <c r="A131"/>
      <c r="L131" s="82" t="s">
        <v>84</v>
      </c>
    </row>
    <row r="132" spans="1:12" ht="12.75">
      <c r="A132"/>
      <c r="L132" s="82" t="s">
        <v>65</v>
      </c>
    </row>
    <row r="133" spans="1:12" ht="12.75">
      <c r="A133"/>
      <c r="L133" s="82" t="s">
        <v>85</v>
      </c>
    </row>
    <row r="134" spans="1:12" ht="12.75">
      <c r="A134"/>
      <c r="L134" s="82" t="s">
        <v>86</v>
      </c>
    </row>
    <row r="135" ht="12.75">
      <c r="A135"/>
    </row>
    <row r="136" ht="12.75">
      <c r="A136"/>
    </row>
    <row r="137" ht="12.75">
      <c r="A137"/>
    </row>
    <row r="138" ht="12.75">
      <c r="A138"/>
    </row>
    <row r="139" ht="12.75">
      <c r="A139"/>
    </row>
    <row r="140" ht="12.75">
      <c r="A140"/>
    </row>
    <row r="141" ht="12.75">
      <c r="A141"/>
    </row>
    <row r="142" ht="12.75">
      <c r="A142"/>
    </row>
    <row r="143" ht="12.75">
      <c r="A143"/>
    </row>
    <row r="144" ht="12.75">
      <c r="A144"/>
    </row>
    <row r="145" ht="12.75">
      <c r="A145"/>
    </row>
    <row r="146" ht="12.75">
      <c r="A146"/>
    </row>
    <row r="147" ht="12.75">
      <c r="A147"/>
    </row>
    <row r="148" ht="12.75">
      <c r="A148"/>
    </row>
    <row r="149" ht="12.75">
      <c r="A149"/>
    </row>
    <row r="150" ht="12.75">
      <c r="A150"/>
    </row>
    <row r="151" ht="12.75">
      <c r="A151"/>
    </row>
    <row r="152" ht="12.75">
      <c r="A152"/>
    </row>
    <row r="153" ht="12.75">
      <c r="A153"/>
    </row>
    <row r="154" ht="12.75">
      <c r="A154"/>
    </row>
    <row r="155" ht="12.75">
      <c r="A155"/>
    </row>
    <row r="156" ht="12.75">
      <c r="A156"/>
    </row>
    <row r="157" ht="12.75">
      <c r="A157"/>
    </row>
    <row r="158" ht="12.75">
      <c r="A158"/>
    </row>
    <row r="159" ht="12.75">
      <c r="A159"/>
    </row>
    <row r="160" ht="12.75">
      <c r="A160"/>
    </row>
    <row r="161" ht="12.75">
      <c r="A161"/>
    </row>
    <row r="162" ht="12.75">
      <c r="A162"/>
    </row>
    <row r="163" ht="12.75">
      <c r="A163"/>
    </row>
    <row r="164" ht="12.75">
      <c r="A164"/>
    </row>
    <row r="165" ht="12.75">
      <c r="A165"/>
    </row>
    <row r="166" ht="12.75">
      <c r="A166"/>
    </row>
    <row r="167" ht="12.75">
      <c r="A167"/>
    </row>
    <row r="168" ht="12.75">
      <c r="A168"/>
    </row>
    <row r="169" ht="12.75">
      <c r="A169"/>
    </row>
    <row r="170" ht="12.75">
      <c r="A170"/>
    </row>
    <row r="171" ht="12.75">
      <c r="A171"/>
    </row>
    <row r="172" ht="12.75">
      <c r="A172"/>
    </row>
    <row r="173" ht="12.75">
      <c r="A173"/>
    </row>
    <row r="174" ht="12.75">
      <c r="A174"/>
    </row>
    <row r="175" ht="12.75">
      <c r="A175"/>
    </row>
    <row r="176" ht="12.75">
      <c r="A176"/>
    </row>
    <row r="177" ht="12.75">
      <c r="A177"/>
    </row>
    <row r="178" ht="12.75">
      <c r="A178"/>
    </row>
    <row r="179" ht="12.75">
      <c r="A179"/>
    </row>
    <row r="180" ht="12.75">
      <c r="A180"/>
    </row>
    <row r="219" ht="12.75" customHeight="1"/>
    <row r="220" spans="1:24" ht="12.75" customHeight="1">
      <c r="A220" s="249" t="str">
        <f>A28</f>
        <v>Nº OPERAÇÃO</v>
      </c>
      <c r="B220" s="251"/>
      <c r="C220" s="249" t="str">
        <f>C28</f>
        <v>GESTOR</v>
      </c>
      <c r="D220" s="250"/>
      <c r="E220" s="251"/>
      <c r="F220" s="249" t="str">
        <f>F28</f>
        <v>PROGRAMA</v>
      </c>
      <c r="G220" s="250"/>
      <c r="H220" s="250"/>
      <c r="I220" s="251"/>
      <c r="J220" s="249" t="str">
        <f>J28</f>
        <v>AÇÃO / MODALIDADE</v>
      </c>
      <c r="K220" s="250"/>
      <c r="L220" s="250"/>
      <c r="M220" s="250"/>
      <c r="N220" s="250"/>
      <c r="O220" s="251"/>
      <c r="P220" s="249" t="str">
        <f>P28</f>
        <v>OBJETO</v>
      </c>
      <c r="Q220" s="250"/>
      <c r="R220" s="250"/>
      <c r="S220" s="250"/>
      <c r="T220" s="250"/>
      <c r="U220" s="250"/>
      <c r="V220" s="250"/>
      <c r="W220" s="250"/>
      <c r="X220" s="251"/>
    </row>
    <row r="221" spans="1:24" ht="12.75" customHeight="1">
      <c r="A221" s="284" t="str">
        <f>IF(A29="","",A29)</f>
        <v>920647/2021</v>
      </c>
      <c r="B221" s="286"/>
      <c r="C221" s="284" t="str">
        <f>IF(C29="","",C29)</f>
        <v xml:space="preserve">Ministério do Turismo </v>
      </c>
      <c r="D221" s="285"/>
      <c r="E221" s="286"/>
      <c r="F221" s="284" t="str">
        <f>IF(F29="","",F29)</f>
        <v>Apoio a Projetos de Infraestrutura Turística</v>
      </c>
      <c r="G221" s="285"/>
      <c r="H221" s="285"/>
      <c r="I221" s="286"/>
      <c r="J221" s="284" t="str">
        <f>IF(J29="","",J29)</f>
        <v xml:space="preserve">Contrato de Repasse </v>
      </c>
      <c r="K221" s="285"/>
      <c r="L221" s="285" t="e">
        <f>IF(#REF!="","",#REF!)</f>
        <v>#REF!</v>
      </c>
      <c r="M221" s="285"/>
      <c r="N221" s="285" t="e">
        <f>IF(#REF!="","",#REF!)</f>
        <v>#REF!</v>
      </c>
      <c r="O221" s="286"/>
      <c r="P221" s="284" t="str">
        <f>IF(P29="","",P29)</f>
        <v xml:space="preserve">Construçaõ dos Centros de Comercialização de Produtos Associados ao Turismo </v>
      </c>
      <c r="Q221" s="285"/>
      <c r="R221" s="285"/>
      <c r="S221" s="285"/>
      <c r="T221" s="285"/>
      <c r="U221" s="285"/>
      <c r="V221" s="285"/>
      <c r="W221" s="285"/>
      <c r="X221" s="286"/>
    </row>
    <row r="222" spans="1:24" ht="6" customHeight="1">
      <c r="A222" s="2"/>
      <c r="B222" s="2"/>
      <c r="C222" s="2"/>
      <c r="D222" s="2"/>
      <c r="E222" s="2"/>
      <c r="F222" s="2"/>
      <c r="G222" s="2"/>
      <c r="H222" s="2"/>
      <c r="I222" s="2"/>
      <c r="J222" s="2"/>
      <c r="K222" s="2"/>
      <c r="L222" s="2"/>
      <c r="M222" s="2"/>
      <c r="N222" s="2"/>
      <c r="O222" s="2"/>
      <c r="P222" s="2"/>
      <c r="Q222" s="2"/>
      <c r="R222" s="2"/>
      <c r="S222" s="2"/>
      <c r="T222" s="2"/>
      <c r="U222" s="2"/>
      <c r="V222" s="2"/>
      <c r="W222" s="21"/>
      <c r="X222" s="21"/>
    </row>
    <row r="223" spans="1:24" ht="12.75">
      <c r="A223" s="249" t="str">
        <f>A31</f>
        <v>PROPONENTE / TOMADOR</v>
      </c>
      <c r="B223" s="250"/>
      <c r="C223" s="250"/>
      <c r="D223" s="250"/>
      <c r="E223" s="250"/>
      <c r="F223" s="250"/>
      <c r="G223" s="249" t="str">
        <f>G31</f>
        <v>MUNICÍPIO / UF</v>
      </c>
      <c r="H223" s="250"/>
      <c r="I223" s="250"/>
      <c r="J223" s="251"/>
      <c r="K223" s="249" t="str">
        <f>K31</f>
        <v>LOCALIDADE / ENDEREÇO</v>
      </c>
      <c r="L223" s="250"/>
      <c r="M223" s="250"/>
      <c r="N223" s="250"/>
      <c r="O223" s="250"/>
      <c r="P223" s="251"/>
      <c r="Q223" s="249" t="str">
        <f>Q31</f>
        <v>APELIDO DO EMPREENDIMENTO</v>
      </c>
      <c r="R223" s="250"/>
      <c r="S223" s="250"/>
      <c r="T223" s="250"/>
      <c r="U223" s="250"/>
      <c r="V223" s="250"/>
      <c r="W223" s="250"/>
      <c r="X223" s="251"/>
    </row>
    <row r="224" spans="1:24" ht="12.75" customHeight="1">
      <c r="A224" s="282" t="str">
        <f>IF(A32="","",A32)</f>
        <v>Município de Fontoura Xavier</v>
      </c>
      <c r="B224" s="283"/>
      <c r="C224" s="283"/>
      <c r="D224" s="283"/>
      <c r="E224" s="283"/>
      <c r="F224" s="283"/>
      <c r="G224" s="284" t="str">
        <f>IF(G32="","",G32)</f>
        <v>Fontoura Xavier /RS</v>
      </c>
      <c r="H224" s="285" t="str">
        <f>IF(I32="","",I32)</f>
        <v/>
      </c>
      <c r="I224" s="285"/>
      <c r="J224" s="286" t="e">
        <f>IF(#REF!="","",#REF!)</f>
        <v>#REF!</v>
      </c>
      <c r="K224" s="284" t="str">
        <f>IF(K32="","",K32)</f>
        <v>Entorno da BR-386</v>
      </c>
      <c r="L224" s="285"/>
      <c r="M224" s="285"/>
      <c r="N224" s="285"/>
      <c r="O224" s="285"/>
      <c r="P224" s="286"/>
      <c r="Q224" s="284" t="str">
        <f>IF(Q32="","",Q32)</f>
        <v>CCCPAT</v>
      </c>
      <c r="R224" s="285"/>
      <c r="S224" s="285"/>
      <c r="T224" s="285"/>
      <c r="U224" s="285"/>
      <c r="V224" s="285"/>
      <c r="W224" s="285"/>
      <c r="X224" s="286"/>
    </row>
    <row r="225" spans="1:24" ht="6" customHeight="1">
      <c r="A225" s="2"/>
      <c r="B225" s="2"/>
      <c r="C225" s="2"/>
      <c r="D225" s="2"/>
      <c r="E225" s="2"/>
      <c r="F225" s="2"/>
      <c r="G225" s="2"/>
      <c r="H225" s="2"/>
      <c r="I225" s="2"/>
      <c r="J225" s="2"/>
      <c r="K225" s="2"/>
      <c r="L225" s="2"/>
      <c r="M225" s="2"/>
      <c r="N225" s="2"/>
      <c r="O225" s="2"/>
      <c r="P225" s="2"/>
      <c r="Q225" s="2"/>
      <c r="R225" s="2"/>
      <c r="S225" s="2"/>
      <c r="T225" s="2"/>
      <c r="U225" s="2"/>
      <c r="V225" s="2"/>
      <c r="W225" s="21"/>
      <c r="X225" s="21"/>
    </row>
    <row r="226" spans="1:24" ht="12.75">
      <c r="A226" s="249" t="str">
        <f>A37</f>
        <v>DATA BASE</v>
      </c>
      <c r="B226" s="251"/>
      <c r="C226" s="135" t="str">
        <f>C37</f>
        <v>DESON.</v>
      </c>
      <c r="D226" s="249" t="str">
        <f>D37</f>
        <v>LOCALIDADE DO SINAPI</v>
      </c>
      <c r="E226" s="250"/>
      <c r="F226" s="251"/>
      <c r="G226" s="249" t="str">
        <f>G37</f>
        <v>DESCRIÇÃO DO LOTE</v>
      </c>
      <c r="H226" s="250"/>
      <c r="I226" s="250"/>
      <c r="J226" s="250"/>
      <c r="K226" s="250"/>
      <c r="L226" s="250"/>
      <c r="M226" s="250"/>
      <c r="N226" s="250"/>
      <c r="O226" s="250"/>
      <c r="P226" s="250"/>
      <c r="Q226" s="250"/>
      <c r="R226" s="250"/>
      <c r="S226" s="251"/>
      <c r="T226" s="136" t="str">
        <f>T37</f>
        <v>BDI 1</v>
      </c>
      <c r="U226" s="136" t="str">
        <f>U37</f>
        <v>BDI 2</v>
      </c>
      <c r="V226" s="136" t="str">
        <f>V37</f>
        <v>BDI 3</v>
      </c>
      <c r="W226" s="136" t="str">
        <f>W37</f>
        <v>BDI 4</v>
      </c>
      <c r="X226" s="136" t="str">
        <f>X37</f>
        <v>BDI 5</v>
      </c>
    </row>
    <row r="227" spans="1:24" ht="12.75" customHeight="1">
      <c r="A227" s="289">
        <f>IF(A38="","",A38)</f>
        <v>45017</v>
      </c>
      <c r="B227" s="290"/>
      <c r="C227" s="137" t="str">
        <f aca="true" t="shared" si="0" ref="C227:X227">IF(C38="","",C38)</f>
        <v>Não</v>
      </c>
      <c r="D227" s="291" t="str">
        <f t="shared" si="0"/>
        <v>Porto Alegre / RS</v>
      </c>
      <c r="E227" s="292" t="str">
        <f t="shared" si="0"/>
        <v/>
      </c>
      <c r="F227" s="293" t="str">
        <f t="shared" si="0"/>
        <v/>
      </c>
      <c r="G227" s="291" t="str">
        <f t="shared" si="0"/>
        <v xml:space="preserve">Áreas do Município </v>
      </c>
      <c r="H227" s="292" t="str">
        <f t="shared" si="0"/>
        <v/>
      </c>
      <c r="I227" s="292" t="str">
        <f t="shared" si="0"/>
        <v/>
      </c>
      <c r="J227" s="292" t="str">
        <f t="shared" si="0"/>
        <v/>
      </c>
      <c r="K227" s="292" t="str">
        <f t="shared" si="0"/>
        <v/>
      </c>
      <c r="L227" s="292" t="str">
        <f t="shared" si="0"/>
        <v/>
      </c>
      <c r="M227" s="292" t="str">
        <f t="shared" si="0"/>
        <v/>
      </c>
      <c r="N227" s="292" t="str">
        <f t="shared" si="0"/>
        <v/>
      </c>
      <c r="O227" s="292" t="str">
        <f t="shared" si="0"/>
        <v/>
      </c>
      <c r="P227" s="292" t="str">
        <f t="shared" si="0"/>
        <v/>
      </c>
      <c r="Q227" s="292" t="str">
        <f t="shared" si="0"/>
        <v/>
      </c>
      <c r="R227" s="292" t="str">
        <f t="shared" si="0"/>
        <v/>
      </c>
      <c r="S227" s="293" t="str">
        <f t="shared" si="0"/>
        <v/>
      </c>
      <c r="T227" s="139">
        <f ca="1" t="shared" si="0"/>
        <v>0.206</v>
      </c>
      <c r="U227" s="96">
        <f ca="1" t="shared" si="0"/>
        <v>0.1262</v>
      </c>
      <c r="V227" s="96" t="str">
        <f ca="1" t="shared" si="0"/>
        <v/>
      </c>
      <c r="W227" s="96" t="str">
        <f ca="1" t="shared" si="0"/>
        <v/>
      </c>
      <c r="X227" s="96" t="str">
        <f ca="1" t="shared" si="0"/>
        <v/>
      </c>
    </row>
    <row r="228" spans="1:24" ht="6" customHeight="1" hidden="1">
      <c r="A228" s="2"/>
      <c r="B228" s="2"/>
      <c r="C228" s="2"/>
      <c r="D228" s="2"/>
      <c r="E228" s="2"/>
      <c r="F228" s="2"/>
      <c r="G228" s="2"/>
      <c r="H228" s="2"/>
      <c r="I228" s="2"/>
      <c r="J228" s="2"/>
      <c r="K228" s="2"/>
      <c r="L228" s="2"/>
      <c r="M228" s="2"/>
      <c r="N228" s="2"/>
      <c r="O228" s="2"/>
      <c r="P228" s="2"/>
      <c r="Q228" s="2"/>
      <c r="R228" s="2"/>
      <c r="S228" s="2"/>
      <c r="T228" s="2"/>
      <c r="U228" s="2"/>
      <c r="V228" s="2"/>
      <c r="W228" s="21"/>
      <c r="X228" s="21"/>
    </row>
    <row r="229" spans="1:24" ht="12.75" customHeight="1" hidden="1">
      <c r="A229" s="249" t="s">
        <v>87</v>
      </c>
      <c r="B229" s="251"/>
      <c r="C229" s="249" t="s">
        <v>162</v>
      </c>
      <c r="D229" s="250"/>
      <c r="E229" s="250"/>
      <c r="F229" s="250"/>
      <c r="G229" s="250"/>
      <c r="H229" s="249" t="s">
        <v>16</v>
      </c>
      <c r="I229" s="250"/>
      <c r="J229" s="134" t="s">
        <v>91</v>
      </c>
      <c r="K229" s="249" t="s">
        <v>88</v>
      </c>
      <c r="L229" s="250"/>
      <c r="M229" s="251"/>
      <c r="N229" s="134" t="s">
        <v>92</v>
      </c>
      <c r="O229" s="249" t="s">
        <v>93</v>
      </c>
      <c r="P229" s="250"/>
      <c r="Q229" s="250"/>
      <c r="R229" s="250"/>
      <c r="S229" s="250"/>
      <c r="T229" s="251"/>
      <c r="U229" s="287" t="s">
        <v>89</v>
      </c>
      <c r="V229" s="288"/>
      <c r="W229" s="287" t="s">
        <v>90</v>
      </c>
      <c r="X229" s="288"/>
    </row>
    <row r="230" spans="1:24" s="21" customFormat="1" ht="12.75" customHeight="1" hidden="1">
      <c r="A230" s="291" t="str">
        <f>IF(A43="","",A43)</f>
        <v/>
      </c>
      <c r="B230" s="293"/>
      <c r="C230" s="291" t="str">
        <f>IF(C43="","",C43)</f>
        <v/>
      </c>
      <c r="D230" s="292"/>
      <c r="E230" s="292" t="str">
        <f>IF(E43="","",E43)</f>
        <v/>
      </c>
      <c r="F230" s="292"/>
      <c r="G230" s="292" t="str">
        <f>IF(G43="","",G43)</f>
        <v/>
      </c>
      <c r="H230" s="308" t="str">
        <f>IF(H43="","",H43)</f>
        <v/>
      </c>
      <c r="I230" s="309" t="str">
        <f>IF(I43="","",I43)</f>
        <v/>
      </c>
      <c r="J230" s="138" t="str">
        <f>IF(J43="","",J43)</f>
        <v/>
      </c>
      <c r="K230" s="300" t="str">
        <f>IF(K43="","",K43)</f>
        <v/>
      </c>
      <c r="L230" s="302"/>
      <c r="M230" s="303" t="str">
        <f>IF(M43="","",M43)</f>
        <v/>
      </c>
      <c r="N230" s="140" t="str">
        <f>IF(N43="","",N43)</f>
        <v/>
      </c>
      <c r="O230" s="300" t="str">
        <f>IF(O43="","",O43)</f>
        <v/>
      </c>
      <c r="P230" s="301"/>
      <c r="Q230" s="301" t="str">
        <f>IF(Q43="","",Q43)</f>
        <v/>
      </c>
      <c r="R230" s="302"/>
      <c r="S230" s="302" t="str">
        <f>IF(S43="","",S43)</f>
        <v/>
      </c>
      <c r="T230" s="303"/>
      <c r="U230" s="306" t="str">
        <f>IF(U43="","",U43)</f>
        <v/>
      </c>
      <c r="V230" s="307"/>
      <c r="W230" s="304" t="str">
        <f>IF(W43="","",W43)</f>
        <v/>
      </c>
      <c r="X230" s="305"/>
    </row>
    <row r="231" spans="1:24" ht="12.75">
      <c r="A231" s="22"/>
      <c r="B231" s="22"/>
      <c r="C231" s="21"/>
      <c r="D231" s="21"/>
      <c r="E231" s="21"/>
      <c r="F231" s="23"/>
      <c r="G231" s="23"/>
      <c r="H231" s="23"/>
      <c r="I231" s="21"/>
      <c r="J231" s="21"/>
      <c r="K231" s="21"/>
      <c r="L231" s="21"/>
      <c r="M231" s="21"/>
      <c r="N231" s="21"/>
      <c r="O231" s="21"/>
      <c r="P231" s="21"/>
      <c r="Q231" s="21"/>
      <c r="R231" s="21"/>
      <c r="S231" s="21"/>
      <c r="T231" s="21"/>
      <c r="U231" s="21"/>
      <c r="V231" s="21"/>
      <c r="W231" s="21"/>
      <c r="X231" s="21"/>
    </row>
    <row r="232" spans="1:8" ht="6" customHeight="1">
      <c r="A232" s="1"/>
      <c r="B232" s="1"/>
      <c r="F232" s="1"/>
      <c r="G232" s="1"/>
      <c r="H232" s="1"/>
    </row>
    <row r="233" spans="1:8" ht="12.75">
      <c r="A233" s="1"/>
      <c r="B233" s="1"/>
      <c r="F233" s="1"/>
      <c r="G233" s="1"/>
      <c r="H233" s="1"/>
    </row>
    <row r="234" spans="1:8" ht="12.75">
      <c r="A234" s="1"/>
      <c r="B234" s="1"/>
      <c r="F234" s="1"/>
      <c r="G234" s="1"/>
      <c r="H234" s="1"/>
    </row>
    <row r="235" spans="1:8" ht="12.75">
      <c r="A235" s="1"/>
      <c r="B235" s="1"/>
      <c r="F235" s="1"/>
      <c r="G235" s="1"/>
      <c r="H235" s="1"/>
    </row>
    <row r="236" spans="1:8" ht="12.75" customHeight="1" hidden="1">
      <c r="A236" s="1"/>
      <c r="B236" s="1"/>
      <c r="F236" s="1"/>
      <c r="G236" s="1"/>
      <c r="H236" s="1"/>
    </row>
    <row r="237" spans="1:8" ht="6" customHeight="1" hidden="1">
      <c r="A237" s="1"/>
      <c r="B237" s="1"/>
      <c r="F237" s="1"/>
      <c r="G237" s="1"/>
      <c r="H237" s="1"/>
    </row>
    <row r="238" spans="1:8" ht="12.75" customHeight="1" hidden="1">
      <c r="A238" s="1"/>
      <c r="B238" s="1"/>
      <c r="F238" s="1"/>
      <c r="G238" s="1"/>
      <c r="H238" s="1"/>
    </row>
    <row r="239" spans="1:8" ht="12.75" customHeight="1" hidden="1">
      <c r="A239" s="1"/>
      <c r="B239" s="1"/>
      <c r="F239" s="1"/>
      <c r="G239" s="1"/>
      <c r="H239" s="1"/>
    </row>
    <row r="240" spans="1:8" ht="6" customHeight="1" hidden="1">
      <c r="A240" s="1"/>
      <c r="B240" s="1"/>
      <c r="F240" s="1"/>
      <c r="G240" s="1"/>
      <c r="H240" s="1"/>
    </row>
    <row r="241" spans="1:8" ht="12.75" customHeight="1" hidden="1">
      <c r="A241" s="1"/>
      <c r="B241" s="1"/>
      <c r="F241" s="1"/>
      <c r="G241" s="1"/>
      <c r="H241" s="1"/>
    </row>
    <row r="242" spans="1:8" ht="12.75" customHeight="1" hidden="1">
      <c r="A242" s="1"/>
      <c r="B242" s="1"/>
      <c r="F242" s="1"/>
      <c r="G242" s="1"/>
      <c r="H242" s="1"/>
    </row>
    <row r="243" spans="1:8" ht="12.75" customHeight="1" hidden="1">
      <c r="A243" s="1"/>
      <c r="B243" s="1"/>
      <c r="F243" s="1"/>
      <c r="G243" s="1"/>
      <c r="H243" s="1"/>
    </row>
    <row r="244" spans="1:8" ht="12.75" customHeight="1">
      <c r="A244" s="1"/>
      <c r="B244" s="1"/>
      <c r="F244" s="1"/>
      <c r="G244" s="1"/>
      <c r="H244" s="1"/>
    </row>
    <row r="245" spans="1:8" ht="6" customHeight="1">
      <c r="A245" s="1"/>
      <c r="B245" s="1"/>
      <c r="F245" s="1"/>
      <c r="G245" s="1"/>
      <c r="H245" s="1"/>
    </row>
    <row r="246" spans="1:8" ht="12.75" customHeight="1">
      <c r="A246" s="1"/>
      <c r="B246" s="1"/>
      <c r="F246" s="1"/>
      <c r="G246" s="1"/>
      <c r="H246" s="1"/>
    </row>
    <row r="247" spans="1:8" ht="12.75" customHeight="1">
      <c r="A247" s="1"/>
      <c r="B247" s="1"/>
      <c r="F247" s="1"/>
      <c r="G247" s="1"/>
      <c r="H247" s="1"/>
    </row>
    <row r="248" spans="1:8" ht="12.75" customHeight="1">
      <c r="A248" s="1"/>
      <c r="B248" s="1"/>
      <c r="F248" s="1"/>
      <c r="G248" s="1"/>
      <c r="H248" s="1"/>
    </row>
    <row r="249" spans="1:8" ht="12.75" customHeight="1">
      <c r="A249" s="1"/>
      <c r="B249" s="1"/>
      <c r="F249" s="1"/>
      <c r="G249" s="1"/>
      <c r="H249" s="1"/>
    </row>
    <row r="250" spans="1:8" ht="6" customHeight="1">
      <c r="A250" s="1"/>
      <c r="B250" s="1"/>
      <c r="F250" s="1"/>
      <c r="G250" s="1"/>
      <c r="H250" s="1"/>
    </row>
    <row r="251" spans="1:8" ht="12.75">
      <c r="A251" s="1"/>
      <c r="B251" s="1"/>
      <c r="F251" s="1"/>
      <c r="G251" s="1"/>
      <c r="H251" s="1"/>
    </row>
    <row r="252" spans="1:8" ht="12.75">
      <c r="A252" s="1"/>
      <c r="B252" s="1"/>
      <c r="F252" s="1"/>
      <c r="G252" s="1"/>
      <c r="H252" s="1"/>
    </row>
    <row r="253" spans="1:8" ht="12.75">
      <c r="A253" s="1"/>
      <c r="B253" s="1"/>
      <c r="F253" s="1"/>
      <c r="G253" s="1"/>
      <c r="H253" s="1"/>
    </row>
    <row r="254" spans="1:8" ht="12.75">
      <c r="A254" s="1"/>
      <c r="B254" s="1"/>
      <c r="F254" s="1"/>
      <c r="G254" s="1"/>
      <c r="H254" s="1"/>
    </row>
    <row r="255" spans="1:8" ht="12.75">
      <c r="A255" s="1"/>
      <c r="B255" s="1"/>
      <c r="F255" s="1"/>
      <c r="G255" s="1"/>
      <c r="H255" s="1"/>
    </row>
    <row r="256" spans="1:8" ht="12.75">
      <c r="A256" s="1"/>
      <c r="B256" s="1"/>
      <c r="F256" s="1"/>
      <c r="G256" s="1"/>
      <c r="H256" s="1"/>
    </row>
    <row r="257" spans="1:8" ht="12.75">
      <c r="A257" s="1"/>
      <c r="B257" s="1"/>
      <c r="F257" s="1"/>
      <c r="G257" s="1"/>
      <c r="H257" s="1"/>
    </row>
  </sheetData>
  <sheetProtection algorithmName="SHA-512" hashValue="I8g+cQ/JokVqopHXg04q3tJow6WHcdD9SjYVcrbcDLq4s7OITXnof0zWlMBiyMDqBDCQvziDhCvWhiEI2rF/9g==" saltValue="Mbk4K19ogz5yNhvUvB/dMA==" spinCount="100000" sheet="1" objects="1" scenarios="1"/>
  <mergeCells count="136">
    <mergeCell ref="C221:E221"/>
    <mergeCell ref="F220:I220"/>
    <mergeCell ref="F221:I221"/>
    <mergeCell ref="P220:X220"/>
    <mergeCell ref="P221:X221"/>
    <mergeCell ref="J28:O28"/>
    <mergeCell ref="G32:J32"/>
    <mergeCell ref="K31:P31"/>
    <mergeCell ref="K32:P32"/>
    <mergeCell ref="P28:X28"/>
    <mergeCell ref="Q31:X31"/>
    <mergeCell ref="Q32:X32"/>
    <mergeCell ref="A31:F31"/>
    <mergeCell ref="C28:E28"/>
    <mergeCell ref="C29:E29"/>
    <mergeCell ref="F28:I28"/>
    <mergeCell ref="F29:I29"/>
    <mergeCell ref="A32:F32"/>
    <mergeCell ref="G31:J31"/>
    <mergeCell ref="P29:X29"/>
    <mergeCell ref="J29:O29"/>
    <mergeCell ref="A67:X67"/>
    <mergeCell ref="A88:X88"/>
    <mergeCell ref="K43:M43"/>
    <mergeCell ref="O230:T230"/>
    <mergeCell ref="H229:I229"/>
    <mergeCell ref="K229:M229"/>
    <mergeCell ref="O229:T229"/>
    <mergeCell ref="W230:X230"/>
    <mergeCell ref="Q224:X224"/>
    <mergeCell ref="K223:P223"/>
    <mergeCell ref="A80:X80"/>
    <mergeCell ref="A83:X83"/>
    <mergeCell ref="A230:B230"/>
    <mergeCell ref="U230:V230"/>
    <mergeCell ref="K230:M230"/>
    <mergeCell ref="J221:O221"/>
    <mergeCell ref="G227:S227"/>
    <mergeCell ref="A229:B229"/>
    <mergeCell ref="C229:G229"/>
    <mergeCell ref="C230:G230"/>
    <mergeCell ref="H230:I230"/>
    <mergeCell ref="K224:P224"/>
    <mergeCell ref="Q223:X223"/>
    <mergeCell ref="D226:F226"/>
    <mergeCell ref="A85:X85"/>
    <mergeCell ref="A221:B221"/>
    <mergeCell ref="A223:F223"/>
    <mergeCell ref="A224:F224"/>
    <mergeCell ref="G224:J224"/>
    <mergeCell ref="G223:J223"/>
    <mergeCell ref="C220:E220"/>
    <mergeCell ref="A87:X87"/>
    <mergeCell ref="W229:X229"/>
    <mergeCell ref="U229:V229"/>
    <mergeCell ref="H43:I43"/>
    <mergeCell ref="A227:B227"/>
    <mergeCell ref="G226:S226"/>
    <mergeCell ref="A226:B226"/>
    <mergeCell ref="A220:B220"/>
    <mergeCell ref="D227:F227"/>
    <mergeCell ref="A48:C48"/>
    <mergeCell ref="H57:K57"/>
    <mergeCell ref="B54:E54"/>
    <mergeCell ref="A65:X65"/>
    <mergeCell ref="H55:K55"/>
    <mergeCell ref="A45:X45"/>
    <mergeCell ref="A63:X63"/>
    <mergeCell ref="A50:X50"/>
    <mergeCell ref="B55:E55"/>
    <mergeCell ref="B57:E57"/>
    <mergeCell ref="H54:K54"/>
    <mergeCell ref="B1:X2"/>
    <mergeCell ref="H56:K56"/>
    <mergeCell ref="W42:X42"/>
    <mergeCell ref="A37:B37"/>
    <mergeCell ref="A42:B42"/>
    <mergeCell ref="W43:X43"/>
    <mergeCell ref="O43:T43"/>
    <mergeCell ref="C43:G43"/>
    <mergeCell ref="K42:M42"/>
    <mergeCell ref="U43:V43"/>
    <mergeCell ref="A35:X35"/>
    <mergeCell ref="G37:S37"/>
    <mergeCell ref="D37:F37"/>
    <mergeCell ref="A4:X4"/>
    <mergeCell ref="A6:X6"/>
    <mergeCell ref="A8:X8"/>
    <mergeCell ref="A24:X24"/>
    <mergeCell ref="A14:X14"/>
    <mergeCell ref="A10:X10"/>
    <mergeCell ref="A12:X12"/>
    <mergeCell ref="H42:I42"/>
    <mergeCell ref="B56:E56"/>
    <mergeCell ref="O42:T42"/>
    <mergeCell ref="A43:B43"/>
    <mergeCell ref="J220:O220"/>
    <mergeCell ref="A99:X99"/>
    <mergeCell ref="A98:X98"/>
    <mergeCell ref="A97:X97"/>
    <mergeCell ref="A26:X26"/>
    <mergeCell ref="A28:B28"/>
    <mergeCell ref="A29:B29"/>
    <mergeCell ref="A69:X69"/>
    <mergeCell ref="A60:X60"/>
    <mergeCell ref="A62:X62"/>
    <mergeCell ref="A101:X101"/>
    <mergeCell ref="A95:X95"/>
    <mergeCell ref="A96:X96"/>
    <mergeCell ref="A38:B38"/>
    <mergeCell ref="U42:V42"/>
    <mergeCell ref="A70:X70"/>
    <mergeCell ref="A40:X40"/>
    <mergeCell ref="A100:X100"/>
    <mergeCell ref="A74:X74"/>
    <mergeCell ref="A81:X81"/>
    <mergeCell ref="A90:X90"/>
    <mergeCell ref="A93:X93"/>
    <mergeCell ref="A94:X94"/>
    <mergeCell ref="A92:X92"/>
    <mergeCell ref="G38:S38"/>
    <mergeCell ref="A86:X86"/>
    <mergeCell ref="D38:F38"/>
    <mergeCell ref="C42:G42"/>
    <mergeCell ref="A68:X68"/>
    <mergeCell ref="A78:X78"/>
    <mergeCell ref="A71:X71"/>
    <mergeCell ref="A72:X72"/>
    <mergeCell ref="A16:X16"/>
    <mergeCell ref="A18:X18"/>
    <mergeCell ref="A22:I22"/>
    <mergeCell ref="A76:X76"/>
    <mergeCell ref="A84:X84"/>
    <mergeCell ref="A77:X77"/>
    <mergeCell ref="A79:X79"/>
    <mergeCell ref="A82:X82"/>
  </mergeCells>
  <conditionalFormatting sqref="B54:E55 B56 B57:E57">
    <cfRule type="expression" priority="42" dxfId="356" stopIfTrue="1">
      <formula>$B54&lt;&gt;""</formula>
    </cfRule>
  </conditionalFormatting>
  <conditionalFormatting sqref="A48 H54:K54 H55:H56 H57:K57 A29:C29 J29 F29 A32 P29 G32 K32">
    <cfRule type="expression" priority="48" dxfId="356" stopIfTrue="1">
      <formula>A29&lt;&gt;""</formula>
    </cfRule>
  </conditionalFormatting>
  <conditionalFormatting sqref="G53:K54 G55:H56 G57:K57">
    <cfRule type="expression" priority="43" dxfId="538" stopIfTrue="1">
      <formula>$K$52&lt;&gt;"SIM"</formula>
    </cfRule>
  </conditionalFormatting>
  <conditionalFormatting sqref="A40:X43">
    <cfRule type="expression" priority="56" dxfId="103" stopIfTrue="1">
      <formula>OR(TipoOrçamento="BASE",TipoOrçamento="REPROGRAMADONPL")</formula>
    </cfRule>
    <cfRule type="expression" priority="57" dxfId="356" stopIfTrue="1">
      <formula>A40&lt;&gt;""</formula>
    </cfRule>
  </conditionalFormatting>
  <conditionalFormatting sqref="A35:X38">
    <cfRule type="expression" priority="58" dxfId="103" stopIfTrue="1">
      <formula>OR(TipoOrçamento="LICITADO",TipoOrçamento="REPROGRAMADOAC")</formula>
    </cfRule>
    <cfRule type="expression" priority="59" dxfId="356" stopIfTrue="1">
      <formula>A35&lt;&gt;""</formula>
    </cfRule>
  </conditionalFormatting>
  <conditionalFormatting sqref="Q32">
    <cfRule type="expression" priority="1" dxfId="356" stopIfTrue="1">
      <formula>Q32&lt;&gt;""</formula>
    </cfRule>
  </conditionalFormatting>
  <dataValidations count="7">
    <dataValidation type="list" allowBlank="1" showInputMessage="1" showErrorMessage="1" sqref="C227 J43 C38">
      <formula1>"Sim,Não"</formula1>
    </dataValidation>
    <dataValidation type="list" allowBlank="1" showInputMessage="1" showErrorMessage="1" sqref="K52">
      <formula1>"SIM,NÃO"</formula1>
    </dataValidation>
    <dataValidation type="list" allowBlank="1" showInputMessage="1" showErrorMessage="1" sqref="D38:F38">
      <formula1>Dados.Lista.Localidade</formula1>
    </dataValidation>
    <dataValidation type="list" allowBlank="1" showInputMessage="1" showErrorMessage="1" sqref="K43:M43">
      <formula1>Dados.Lista.RegimeExecução</formula1>
    </dataValidation>
    <dataValidation type="list" allowBlank="1" showInputMessage="1" showErrorMessage="1" sqref="N43">
      <formula1>Dados.Lista.Acompanhamento</formula1>
    </dataValidation>
    <dataValidation type="date" operator="greaterThan" allowBlank="1" showInputMessage="1" showErrorMessage="1" errorTitle="Erro de valor" error="Digite somente datas." sqref="A38:B38 H43:I43 A48:C48">
      <formula1>36526</formula1>
    </dataValidation>
    <dataValidation allowBlank="1" showInputMessage="1" showErrorMessage="1" promptTitle="Nº OPERAÇÃO:" prompt="nº do Contrato de Repasse ou Termo de Compromisso, firmado com a CAIXA._x000a_Formato 0.000.000-00/0000." sqref="A29:B29"/>
  </dataValidations>
  <printOptions/>
  <pageMargins left="0.78740157480315" right="0.78740157480315" top="0.78740157480315" bottom="0.78740157480315" header="5.70866141732284" footer="0.590551181102362"/>
  <pageSetup fitToHeight="1" fitToWidth="1" horizontalDpi="600" verticalDpi="600" orientation="portrait" paperSize="9" scale="41" r:id="rId3"/>
  <headerFooter alignWithMargins="0">
    <oddHeader>&amp;L_</oddHeader>
    <oddFooter>&amp;L27.476 v008   micro&amp;R&amp;P</oddFooter>
  </headerFooter>
  <drawing r:id="rId2"/>
  <legacyDrawing r:id="rId1"/>
  <mc:AlternateContent xmlns:mc="http://schemas.openxmlformats.org/markup-compatibility/2006">
    <mc:Choice Requires="x14">
      <controls>
        <mc:AlternateContent>
          <mc:Choice Requires="x14">
            <control xmlns:r="http://schemas.openxmlformats.org/officeDocument/2006/relationships" shapeId="34202" r:id="rId4" name="OptionPLQ-ON">
              <controlPr defaultSize="0" print="0" autoFill="0" autoLine="0" autoPict="0" macro="[0]!ShowPLQ" altText="Parcela 1">
                <anchor moveWithCells="1">
                  <from>
                    <xdr:col>0</xdr:col>
                    <xdr:colOff>381000</xdr:colOff>
                    <xdr:row>18</xdr:row>
                    <xdr:rowOff>83820</xdr:rowOff>
                  </from>
                  <to>
                    <xdr:col>5</xdr:col>
                    <xdr:colOff>228600</xdr:colOff>
                    <xdr:row>20</xdr:row>
                    <xdr:rowOff>45720</xdr:rowOff>
                  </to>
                </anchor>
              </controlPr>
            </control>
          </mc:Choice>
        </mc:AlternateContent>
        <mc:AlternateContent>
          <mc:Choice Requires="x14">
            <control xmlns:r="http://schemas.openxmlformats.org/officeDocument/2006/relationships" shapeId="34203" r:id="rId5" name="OptionPLQ-OFF">
              <controlPr defaultSize="0" print="0" autoFill="0" autoLine="0" autoPict="0" macro="[0]!HidePLQ" altText="Parcela 1">
                <anchor moveWithCells="1">
                  <from>
                    <xdr:col>5</xdr:col>
                    <xdr:colOff>228600</xdr:colOff>
                    <xdr:row>18</xdr:row>
                    <xdr:rowOff>83820</xdr:rowOff>
                  </from>
                  <to>
                    <xdr:col>11</xdr:col>
                    <xdr:colOff>144780</xdr:colOff>
                    <xdr:row>20</xdr:row>
                    <xdr:rowOff>45720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4">
    <tabColor rgb="FFFFFF00"/>
    <pageSetUpPr fitToPage="1"/>
  </sheetPr>
  <dimension ref="A1:AE60"/>
  <sheetViews>
    <sheetView showGridLines="0" zoomScaleSheetLayoutView="100" zoomScalePageLayoutView="70" workbookViewId="0" topLeftCell="I7">
      <selection activeCell="Q15" sqref="Q15"/>
    </sheetView>
  </sheetViews>
  <sheetFormatPr defaultColWidth="0" defaultRowHeight="12.75" zeroHeight="1"/>
  <cols>
    <col min="1" max="1" width="30.28125" style="52" hidden="1" customWidth="1"/>
    <col min="2" max="3" width="9.140625" style="52" hidden="1" customWidth="1"/>
    <col min="4" max="4" width="23.57421875" style="52" hidden="1" customWidth="1"/>
    <col min="5" max="8" width="9.140625" style="52" hidden="1" customWidth="1"/>
    <col min="9" max="14" width="10.7109375" style="52" customWidth="1"/>
    <col min="15" max="15" width="12.8515625" style="52" customWidth="1"/>
    <col min="16" max="18" width="10.7109375" style="52" customWidth="1"/>
    <col min="19" max="19" width="3.7109375" style="52" customWidth="1"/>
    <col min="20" max="20" width="29.57421875" style="52" customWidth="1"/>
    <col min="21" max="21" width="13.7109375" style="52" customWidth="1"/>
    <col min="22" max="16384" width="9.140625" style="52" hidden="1" customWidth="1"/>
  </cols>
  <sheetData>
    <row r="1" spans="5:18" ht="15" customHeight="1">
      <c r="E1" s="53" t="s">
        <v>25</v>
      </c>
      <c r="F1" s="53" t="s">
        <v>26</v>
      </c>
      <c r="G1" s="53" t="s">
        <v>27</v>
      </c>
      <c r="N1" s="56" t="str">
        <f ca="1">"Quadro de Composição do BDI "&amp;MID(CELL("nome.arquivo",N1),5+FIND("BDI (",CELL("nome.arquivo",N1)),1)</f>
        <v>Quadro de Composição do BDI 1</v>
      </c>
      <c r="Q1"/>
      <c r="R1"/>
    </row>
    <row r="2" spans="1:18" ht="12.75">
      <c r="A2" s="52" t="s">
        <v>28</v>
      </c>
      <c r="B2" s="54" t="s">
        <v>29</v>
      </c>
      <c r="C2" s="52" t="str">
        <f aca="true" t="shared" si="0" ref="C2:C49">CONCATENATE(A2,"-",B2)</f>
        <v>Construção e Reforma de Edifícios-AC</v>
      </c>
      <c r="E2" s="55">
        <v>0.03</v>
      </c>
      <c r="F2" s="55">
        <v>0.04</v>
      </c>
      <c r="G2" s="55">
        <v>0.055</v>
      </c>
      <c r="Q2"/>
      <c r="R2"/>
    </row>
    <row r="3" spans="1:7" ht="12.75">
      <c r="A3" s="52" t="str">
        <f>A2</f>
        <v>Construção e Reforma de Edifícios</v>
      </c>
      <c r="B3" s="54" t="s">
        <v>30</v>
      </c>
      <c r="C3" s="52" t="str">
        <f t="shared" si="0"/>
        <v>Construção e Reforma de Edifícios-SG</v>
      </c>
      <c r="E3" s="55">
        <v>0.008</v>
      </c>
      <c r="F3" s="55">
        <v>0.008</v>
      </c>
      <c r="G3" s="55">
        <v>0.01</v>
      </c>
    </row>
    <row r="4" spans="1:18" ht="12.75">
      <c r="A4" s="52" t="str">
        <f>A3</f>
        <v>Construção e Reforma de Edifícios</v>
      </c>
      <c r="B4" s="54" t="s">
        <v>31</v>
      </c>
      <c r="C4" s="52" t="str">
        <f t="shared" si="0"/>
        <v>Construção e Reforma de Edifícios-R</v>
      </c>
      <c r="E4" s="55">
        <v>0.0097</v>
      </c>
      <c r="F4" s="55">
        <v>0.0127</v>
      </c>
      <c r="G4" s="55">
        <v>0.0127</v>
      </c>
      <c r="I4" s="241" t="s">
        <v>149</v>
      </c>
      <c r="J4" s="252"/>
      <c r="K4" s="241" t="s">
        <v>172</v>
      </c>
      <c r="L4" s="242"/>
      <c r="M4" s="242"/>
      <c r="N4" s="242"/>
      <c r="O4" s="242"/>
      <c r="P4" s="242"/>
      <c r="Q4" s="242"/>
      <c r="R4" s="252"/>
    </row>
    <row r="5" spans="1:19" ht="12.75" customHeight="1">
      <c r="A5" s="52" t="str">
        <f>A4</f>
        <v>Construção e Reforma de Edifícios</v>
      </c>
      <c r="B5" s="54" t="s">
        <v>32</v>
      </c>
      <c r="C5" s="52" t="str">
        <f t="shared" si="0"/>
        <v>Construção e Reforma de Edifícios-DF</v>
      </c>
      <c r="E5" s="55">
        <v>0.0059</v>
      </c>
      <c r="F5" s="55">
        <v>0.0123</v>
      </c>
      <c r="G5" s="55">
        <v>0.0139</v>
      </c>
      <c r="I5" s="344" t="str">
        <f>DADOS!A29</f>
        <v>920647/2021</v>
      </c>
      <c r="J5" s="345"/>
      <c r="K5" s="346" t="str">
        <f>DADOS!A32</f>
        <v>Município de Fontoura Xavier</v>
      </c>
      <c r="L5" s="347"/>
      <c r="M5" s="347"/>
      <c r="N5" s="347"/>
      <c r="O5" s="347"/>
      <c r="P5" s="347"/>
      <c r="Q5" s="347"/>
      <c r="R5" s="348"/>
      <c r="S5" s="57"/>
    </row>
    <row r="6" spans="1:18" ht="6" customHeight="1">
      <c r="A6" s="52" t="str">
        <f>A5</f>
        <v>Construção e Reforma de Edifícios</v>
      </c>
      <c r="B6" s="54" t="s">
        <v>163</v>
      </c>
      <c r="C6" s="52" t="str">
        <f t="shared" si="0"/>
        <v>Construção e Reforma de Edifícios-L</v>
      </c>
      <c r="E6" s="55">
        <v>0.0616</v>
      </c>
      <c r="F6" s="55">
        <v>0.07400000000000001</v>
      </c>
      <c r="G6" s="55">
        <v>0.08960000000000001</v>
      </c>
      <c r="I6" s="58"/>
      <c r="J6" s="58"/>
      <c r="K6" s="58"/>
      <c r="L6" s="58"/>
      <c r="M6" s="58"/>
      <c r="N6" s="58"/>
      <c r="O6" s="58"/>
      <c r="P6" s="58"/>
      <c r="Q6" s="58"/>
      <c r="R6" s="58"/>
    </row>
    <row r="7" spans="1:18" ht="13.5" customHeight="1">
      <c r="A7" s="52" t="str">
        <f>A6</f>
        <v>Construção e Reforma de Edifícios</v>
      </c>
      <c r="B7" s="59" t="s">
        <v>33</v>
      </c>
      <c r="C7" s="52" t="str">
        <f t="shared" si="0"/>
        <v>Construção e Reforma de Edifícios-BDI PAD</v>
      </c>
      <c r="E7" s="55">
        <v>0.2034</v>
      </c>
      <c r="F7" s="55">
        <v>0.2212</v>
      </c>
      <c r="G7" s="55">
        <v>0.25</v>
      </c>
      <c r="I7" s="241" t="s">
        <v>0</v>
      </c>
      <c r="J7" s="242"/>
      <c r="K7" s="242"/>
      <c r="L7" s="242"/>
      <c r="M7" s="242"/>
      <c r="N7" s="242"/>
      <c r="O7" s="242"/>
      <c r="P7" s="242"/>
      <c r="Q7" s="242"/>
      <c r="R7" s="252"/>
    </row>
    <row r="8" spans="1:18" ht="24.75" customHeight="1">
      <c r="A8" s="52" t="s">
        <v>34</v>
      </c>
      <c r="B8" s="54" t="s">
        <v>29</v>
      </c>
      <c r="C8" s="52" t="str">
        <f t="shared" si="0"/>
        <v>Construção de Praças Urbanas, Rodovias, Ferrovias e recapeamento e pavimentação de vias urbanas-AC</v>
      </c>
      <c r="E8" s="55">
        <v>0.038</v>
      </c>
      <c r="F8" s="55">
        <v>0.0401</v>
      </c>
      <c r="G8" s="55">
        <v>0.0467</v>
      </c>
      <c r="I8" s="349" t="str">
        <f>DADOS!P29</f>
        <v xml:space="preserve">Construçaõ dos Centros de Comercialização de Produtos Associados ao Turismo </v>
      </c>
      <c r="J8" s="349"/>
      <c r="K8" s="349"/>
      <c r="L8" s="349"/>
      <c r="M8" s="349"/>
      <c r="N8" s="349"/>
      <c r="O8" s="349"/>
      <c r="P8" s="349"/>
      <c r="Q8" s="349"/>
      <c r="R8" s="349"/>
    </row>
    <row r="9" spans="1:18" ht="6" customHeight="1">
      <c r="A9" s="52" t="s">
        <v>34</v>
      </c>
      <c r="B9" s="54" t="s">
        <v>30</v>
      </c>
      <c r="C9" s="52" t="str">
        <f t="shared" si="0"/>
        <v>Construção de Praças Urbanas, Rodovias, Ferrovias e recapeamento e pavimentação de vias urbanas-SG</v>
      </c>
      <c r="E9" s="55">
        <v>0.0032</v>
      </c>
      <c r="F9" s="55">
        <v>0.004</v>
      </c>
      <c r="G9" s="55">
        <v>0.0074</v>
      </c>
      <c r="I9" s="58"/>
      <c r="J9" s="58"/>
      <c r="K9" s="58"/>
      <c r="L9" s="58"/>
      <c r="M9" s="58"/>
      <c r="N9" s="58"/>
      <c r="O9" s="58"/>
      <c r="P9" s="58"/>
      <c r="Q9" s="58"/>
      <c r="R9" s="58"/>
    </row>
    <row r="10" spans="1:18" ht="12.75">
      <c r="A10" s="52" t="s">
        <v>34</v>
      </c>
      <c r="B10" s="54" t="s">
        <v>31</v>
      </c>
      <c r="C10" s="52" t="str">
        <f t="shared" si="0"/>
        <v>Construção de Praças Urbanas, Rodovias, Ferrovias e recapeamento e pavimentação de vias urbanas-R</v>
      </c>
      <c r="E10" s="55">
        <v>0.005</v>
      </c>
      <c r="F10" s="55">
        <v>0.005600000000000001</v>
      </c>
      <c r="G10" s="55">
        <v>0.0097</v>
      </c>
      <c r="I10" s="241" t="s">
        <v>35</v>
      </c>
      <c r="J10" s="242"/>
      <c r="K10" s="242"/>
      <c r="L10" s="242"/>
      <c r="M10" s="242"/>
      <c r="N10" s="242"/>
      <c r="O10" s="242"/>
      <c r="P10" s="242"/>
      <c r="Q10" s="241" t="s">
        <v>13</v>
      </c>
      <c r="R10" s="252"/>
    </row>
    <row r="11" spans="1:18" ht="12.75">
      <c r="A11" s="52" t="s">
        <v>34</v>
      </c>
      <c r="B11" s="54" t="s">
        <v>32</v>
      </c>
      <c r="C11" s="52" t="str">
        <f t="shared" si="0"/>
        <v>Construção de Praças Urbanas, Rodovias, Ferrovias e recapeamento e pavimentação de vias urbanas-DF</v>
      </c>
      <c r="E11" s="55">
        <v>0.0102</v>
      </c>
      <c r="F11" s="55">
        <v>0.0111</v>
      </c>
      <c r="G11" s="55">
        <v>0.0121</v>
      </c>
      <c r="I11" s="339" t="s">
        <v>28</v>
      </c>
      <c r="J11" s="340"/>
      <c r="K11" s="340"/>
      <c r="L11" s="340"/>
      <c r="M11" s="340"/>
      <c r="N11" s="340"/>
      <c r="O11" s="340"/>
      <c r="P11" s="341"/>
      <c r="Q11" s="342" t="str">
        <f>DADOS!$C$38</f>
        <v>Não</v>
      </c>
      <c r="R11" s="343"/>
    </row>
    <row r="12" spans="1:7" ht="12.75">
      <c r="A12" s="52" t="s">
        <v>34</v>
      </c>
      <c r="B12" s="54" t="s">
        <v>163</v>
      </c>
      <c r="C12" s="52" t="str">
        <f t="shared" si="0"/>
        <v>Construção de Praças Urbanas, Rodovias, Ferrovias e recapeamento e pavimentação de vias urbanas-L</v>
      </c>
      <c r="E12" s="55">
        <v>0.0664</v>
      </c>
      <c r="F12" s="55">
        <v>0.073</v>
      </c>
      <c r="G12" s="55">
        <v>0.08689999999999999</v>
      </c>
    </row>
    <row r="13" spans="1:18" ht="15" customHeight="1">
      <c r="A13" s="52" t="s">
        <v>34</v>
      </c>
      <c r="B13" s="59" t="s">
        <v>33</v>
      </c>
      <c r="C13" s="52" t="str">
        <f t="shared" si="0"/>
        <v>Construção de Praças Urbanas, Rodovias, Ferrovias e recapeamento e pavimentação de vias urbanas-BDI PAD</v>
      </c>
      <c r="E13" s="55">
        <v>0.196</v>
      </c>
      <c r="F13" s="55">
        <v>0.2097</v>
      </c>
      <c r="G13" s="55">
        <v>0.24230000000000002</v>
      </c>
      <c r="I13" s="354" t="s">
        <v>36</v>
      </c>
      <c r="J13" s="354"/>
      <c r="K13" s="354"/>
      <c r="L13" s="354"/>
      <c r="M13" s="354"/>
      <c r="N13" s="354"/>
      <c r="O13" s="354"/>
      <c r="P13" s="354"/>
      <c r="Q13" s="351">
        <v>1</v>
      </c>
      <c r="R13" s="351"/>
    </row>
    <row r="14" spans="1:18" ht="15" customHeight="1">
      <c r="A14" s="52" t="s">
        <v>37</v>
      </c>
      <c r="B14" s="54" t="s">
        <v>29</v>
      </c>
      <c r="C14" s="52" t="str">
        <f t="shared" si="0"/>
        <v>Construção de Redes de Abastecimento de Água, Coleta de Esgoto-AC</v>
      </c>
      <c r="E14" s="55">
        <v>0.034300000000000004</v>
      </c>
      <c r="F14" s="55">
        <v>0.0493</v>
      </c>
      <c r="G14" s="55">
        <v>0.06709999999999999</v>
      </c>
      <c r="I14" s="352" t="s">
        <v>38</v>
      </c>
      <c r="J14" s="352"/>
      <c r="K14" s="352"/>
      <c r="L14" s="352"/>
      <c r="M14" s="352"/>
      <c r="N14" s="352"/>
      <c r="O14" s="352"/>
      <c r="P14" s="352"/>
      <c r="Q14" s="351">
        <v>0.025</v>
      </c>
      <c r="R14" s="351"/>
    </row>
    <row r="15" spans="1:7" ht="12.75">
      <c r="A15" s="52" t="str">
        <f>A14</f>
        <v>Construção de Redes de Abastecimento de Água, Coleta de Esgoto</v>
      </c>
      <c r="B15" s="54" t="s">
        <v>30</v>
      </c>
      <c r="C15" s="52" t="str">
        <f t="shared" si="0"/>
        <v>Construção de Redes de Abastecimento de Água, Coleta de Esgoto-SG</v>
      </c>
      <c r="E15" s="55">
        <v>0.0028000000000000004</v>
      </c>
      <c r="F15" s="55">
        <v>0.0049</v>
      </c>
      <c r="G15" s="55">
        <v>0.0075</v>
      </c>
    </row>
    <row r="16" spans="2:29" ht="12.75" customHeight="1">
      <c r="B16" s="54"/>
      <c r="E16" s="55"/>
      <c r="F16" s="55"/>
      <c r="G16" s="55"/>
      <c r="I16" s="353" t="s">
        <v>39</v>
      </c>
      <c r="J16" s="353"/>
      <c r="K16" s="353"/>
      <c r="L16" s="353"/>
      <c r="M16" s="353" t="s">
        <v>40</v>
      </c>
      <c r="N16" s="356" t="s">
        <v>41</v>
      </c>
      <c r="O16" s="356" t="s">
        <v>42</v>
      </c>
      <c r="P16" s="355" t="s">
        <v>43</v>
      </c>
      <c r="Q16" s="355" t="s">
        <v>44</v>
      </c>
      <c r="R16" s="333" t="s">
        <v>45</v>
      </c>
      <c r="T16" s="330" t="str">
        <f>IF(V27,"Para BDI fora do intervalo estatístico, deve ser apresentado Relatório Técnico Circunstanciado justificando a adoção do percentual de cada parcela do BDI.","")</f>
        <v/>
      </c>
      <c r="U16" s="330"/>
      <c r="V16" s="108"/>
      <c r="W16" s="108"/>
      <c r="X16" s="108"/>
      <c r="Y16" s="108"/>
      <c r="Z16" s="108"/>
      <c r="AA16" s="108"/>
      <c r="AB16" s="108"/>
      <c r="AC16" s="108"/>
    </row>
    <row r="17" spans="1:29" ht="15.75" customHeight="1">
      <c r="A17" s="52" t="str">
        <f>A15</f>
        <v>Construção de Redes de Abastecimento de Água, Coleta de Esgoto</v>
      </c>
      <c r="B17" s="54" t="s">
        <v>31</v>
      </c>
      <c r="C17" s="52" t="str">
        <f t="shared" si="0"/>
        <v>Construção de Redes de Abastecimento de Água, Coleta de Esgoto-R</v>
      </c>
      <c r="E17" s="55">
        <v>0.01</v>
      </c>
      <c r="F17" s="55">
        <v>0.0139</v>
      </c>
      <c r="G17" s="55">
        <v>0.0174</v>
      </c>
      <c r="I17" s="353"/>
      <c r="J17" s="353"/>
      <c r="K17" s="353"/>
      <c r="L17" s="353"/>
      <c r="M17" s="353"/>
      <c r="N17" s="356"/>
      <c r="O17" s="356"/>
      <c r="P17" s="355"/>
      <c r="Q17" s="355"/>
      <c r="R17" s="333"/>
      <c r="T17" s="330"/>
      <c r="U17" s="330"/>
      <c r="V17" s="108"/>
      <c r="W17" s="108"/>
      <c r="X17" s="108"/>
      <c r="Y17" s="108"/>
      <c r="Z17" s="108"/>
      <c r="AA17" s="108"/>
      <c r="AB17" s="108"/>
      <c r="AC17" s="108"/>
    </row>
    <row r="18" spans="1:29" ht="26.25" customHeight="1">
      <c r="A18" s="52" t="str">
        <f>A17</f>
        <v>Construção de Redes de Abastecimento de Água, Coleta de Esgoto</v>
      </c>
      <c r="B18" s="54" t="s">
        <v>32</v>
      </c>
      <c r="C18" s="52" t="str">
        <f t="shared" si="0"/>
        <v>Construção de Redes de Abastecimento de Água, Coleta de Esgoto-DF</v>
      </c>
      <c r="E18" s="55">
        <v>0.009399999999999999</v>
      </c>
      <c r="F18" s="55">
        <v>0.009899999999999999</v>
      </c>
      <c r="G18" s="55">
        <v>0.011699999999999999</v>
      </c>
      <c r="I18" s="318" t="str">
        <f>IF($I$11=$A$59,"Encargos Sociais incidentes sobre a mão de obra","Administração Central")</f>
        <v>Administração Central</v>
      </c>
      <c r="J18" s="318"/>
      <c r="K18" s="318"/>
      <c r="L18" s="318"/>
      <c r="M18" s="60" t="str">
        <f>IF($I$11=$A$59,"K1","AC")</f>
        <v>AC</v>
      </c>
      <c r="N18" s="61">
        <v>0.03</v>
      </c>
      <c r="O18" s="62" t="s">
        <v>46</v>
      </c>
      <c r="P18" s="63">
        <f>VLOOKUP(CONCATENATE(I$11,"-",M18),$C$2:$G$49,3,FALSE)</f>
        <v>0.03</v>
      </c>
      <c r="Q18" s="63">
        <f>VLOOKUP(CONCATENATE(I$11,"-",M18),$C$2:$G$49,4,FALSE)</f>
        <v>0.04</v>
      </c>
      <c r="R18" s="63">
        <f>VLOOKUP(CONCATENATE(I$11,"-",M18),$C$2:$G$49,5,FALSE)</f>
        <v>0.055</v>
      </c>
      <c r="T18" s="330"/>
      <c r="U18" s="330"/>
      <c r="V18" s="108"/>
      <c r="W18" s="108"/>
      <c r="X18" s="108"/>
      <c r="Y18" s="108"/>
      <c r="Z18" s="108"/>
      <c r="AA18" s="108"/>
      <c r="AB18" s="108"/>
      <c r="AC18" s="108"/>
    </row>
    <row r="19" spans="1:29" ht="26.25" customHeight="1">
      <c r="A19" s="52" t="str">
        <f>A18</f>
        <v>Construção de Redes de Abastecimento de Água, Coleta de Esgoto</v>
      </c>
      <c r="B19" s="54" t="s">
        <v>163</v>
      </c>
      <c r="C19" s="52" t="str">
        <f t="shared" si="0"/>
        <v>Construção de Redes de Abastecimento de Água, Coleta de Esgoto-L</v>
      </c>
      <c r="E19" s="55">
        <v>0.0674</v>
      </c>
      <c r="F19" s="55">
        <v>0.08039999999999999</v>
      </c>
      <c r="G19" s="55">
        <v>0.094</v>
      </c>
      <c r="I19" s="318" t="str">
        <f>IF($I$11=$A$59,"Administração Central da empresa ou consultoria - overhead","Seguro e Garantia")</f>
        <v>Seguro e Garantia</v>
      </c>
      <c r="J19" s="318"/>
      <c r="K19" s="318"/>
      <c r="L19" s="318"/>
      <c r="M19" s="60" t="str">
        <f>IF($I$11=$A$59,"K2","SG")</f>
        <v>SG</v>
      </c>
      <c r="N19" s="61">
        <v>0.008</v>
      </c>
      <c r="O19" s="62" t="s">
        <v>46</v>
      </c>
      <c r="P19" s="63">
        <f>VLOOKUP(CONCATENATE(I$11,"-",M19),$C$2:$G$49,3,FALSE)</f>
        <v>0.008</v>
      </c>
      <c r="Q19" s="63">
        <f>VLOOKUP(CONCATENATE(I$11,"-",M19),$C$2:$G$49,4,FALSE)</f>
        <v>0.008</v>
      </c>
      <c r="R19" s="63">
        <f>VLOOKUP(CONCATENATE(I$11,"-",M19),$C$2:$G$49,5,FALSE)</f>
        <v>0.01</v>
      </c>
      <c r="T19" s="330"/>
      <c r="U19" s="330"/>
      <c r="V19" s="108"/>
      <c r="W19" s="108"/>
      <c r="X19" s="108"/>
      <c r="Y19" s="108"/>
      <c r="Z19" s="108"/>
      <c r="AA19" s="108"/>
      <c r="AB19" s="108"/>
      <c r="AC19" s="108"/>
    </row>
    <row r="20" spans="1:29" ht="26.25" customHeight="1">
      <c r="A20" s="52" t="str">
        <f>A19</f>
        <v>Construção de Redes de Abastecimento de Água, Coleta de Esgoto</v>
      </c>
      <c r="B20" s="59" t="s">
        <v>33</v>
      </c>
      <c r="C20" s="52" t="str">
        <f t="shared" si="0"/>
        <v>Construção de Redes de Abastecimento de Água, Coleta de Esgoto-BDI PAD</v>
      </c>
      <c r="E20" s="55">
        <v>0.2076</v>
      </c>
      <c r="F20" s="55">
        <v>0.2418</v>
      </c>
      <c r="G20" s="55">
        <v>0.2644</v>
      </c>
      <c r="I20" s="318" t="str">
        <f>IF($I$11=$A$59,"","Risco")</f>
        <v>Risco</v>
      </c>
      <c r="J20" s="318"/>
      <c r="K20" s="318"/>
      <c r="L20" s="318"/>
      <c r="M20" s="60" t="str">
        <f>IF($I$11=$A$59,"","R")</f>
        <v>R</v>
      </c>
      <c r="N20" s="61">
        <v>0.0097</v>
      </c>
      <c r="O20" s="62" t="s">
        <v>46</v>
      </c>
      <c r="P20" s="63">
        <f>VLOOKUP(CONCATENATE(I$11,"-",M20),$C$2:$G$49,3,FALSE)</f>
        <v>0.0097</v>
      </c>
      <c r="Q20" s="63">
        <f>VLOOKUP(CONCATENATE(I$11,"-",M20),$C$2:$G$49,4,FALSE)</f>
        <v>0.0127</v>
      </c>
      <c r="R20" s="63">
        <f>VLOOKUP(CONCATENATE(I$11,"-",M20),$C$2:$G$49,5,FALSE)</f>
        <v>0.0127</v>
      </c>
      <c r="T20" s="330"/>
      <c r="U20" s="330"/>
      <c r="V20" s="108"/>
      <c r="W20" s="108"/>
      <c r="X20" s="108"/>
      <c r="Y20" s="108"/>
      <c r="Z20" s="108"/>
      <c r="AA20" s="108"/>
      <c r="AB20" s="108"/>
      <c r="AC20" s="108"/>
    </row>
    <row r="21" spans="1:21" ht="26.25" customHeight="1">
      <c r="A21" s="52" t="s">
        <v>47</v>
      </c>
      <c r="B21" s="54" t="s">
        <v>29</v>
      </c>
      <c r="C21" s="52" t="str">
        <f t="shared" si="0"/>
        <v>Construção e Manutenção de Estações e Redes de Distribuição de Energia Elétrica-AC</v>
      </c>
      <c r="E21" s="55">
        <v>0.0529</v>
      </c>
      <c r="F21" s="55">
        <v>0.0592</v>
      </c>
      <c r="G21" s="55">
        <v>0.0793</v>
      </c>
      <c r="I21" s="318" t="str">
        <f>IF($I$11=$A$59,"","Despesas Financeiras")</f>
        <v>Despesas Financeiras</v>
      </c>
      <c r="J21" s="318"/>
      <c r="K21" s="318"/>
      <c r="L21" s="318"/>
      <c r="M21" s="60" t="str">
        <f>IF($I$11=$A$59,"","DF")</f>
        <v>DF</v>
      </c>
      <c r="N21" s="61">
        <v>0.0059</v>
      </c>
      <c r="O21" s="62" t="s">
        <v>46</v>
      </c>
      <c r="P21" s="63">
        <f>VLOOKUP(CONCATENATE(I$11,"-",M21),$C$2:$G$49,3,FALSE)</f>
        <v>0.0059</v>
      </c>
      <c r="Q21" s="63">
        <f>VLOOKUP(CONCATENATE(I$11,"-",M21),$C$2:$G$49,4,FALSE)</f>
        <v>0.0123</v>
      </c>
      <c r="R21" s="63">
        <f>VLOOKUP(CONCATENATE(I$11,"-",M21),$C$2:$G$49,5,FALSE)</f>
        <v>0.0139</v>
      </c>
      <c r="T21" s="330"/>
      <c r="U21" s="330"/>
    </row>
    <row r="22" spans="1:21" ht="26.25" customHeight="1">
      <c r="A22" s="52" t="str">
        <f>A21</f>
        <v>Construção e Manutenção de Estações e Redes de Distribuição de Energia Elétrica</v>
      </c>
      <c r="B22" s="54" t="s">
        <v>30</v>
      </c>
      <c r="C22" s="52" t="str">
        <f t="shared" si="0"/>
        <v>Construção e Manutenção de Estações e Redes de Distribuição de Energia Elétrica-SG</v>
      </c>
      <c r="E22" s="55">
        <v>0.0025</v>
      </c>
      <c r="F22" s="55">
        <v>0.0051</v>
      </c>
      <c r="G22" s="55">
        <v>0.005600000000000001</v>
      </c>
      <c r="I22" s="318" t="str">
        <f>IF($I$11=$A$59,"Margem bruta da empresa de consultoria","Lucro")</f>
        <v>Lucro</v>
      </c>
      <c r="J22" s="318"/>
      <c r="K22" s="318"/>
      <c r="L22" s="318"/>
      <c r="M22" s="60" t="str">
        <f>IF($I$11=$A$59,"K3","L")</f>
        <v>L</v>
      </c>
      <c r="N22" s="61">
        <v>0.074</v>
      </c>
      <c r="O22" s="62" t="s">
        <v>46</v>
      </c>
      <c r="P22" s="63">
        <f>VLOOKUP(CONCATENATE(I$11,"-",M22),$C$2:$G$49,3,FALSE)</f>
        <v>0.0616</v>
      </c>
      <c r="Q22" s="63">
        <f>VLOOKUP(CONCATENATE(I$11,"-",M22),$C$2:$G$49,4,FALSE)</f>
        <v>0.07400000000000001</v>
      </c>
      <c r="R22" s="63">
        <f>VLOOKUP(CONCATENATE(I$11,"-",M22),$C$2:$G$49,5,FALSE)</f>
        <v>0.08960000000000001</v>
      </c>
      <c r="T22" s="330"/>
      <c r="U22" s="330"/>
    </row>
    <row r="23" spans="1:21" ht="26.25" customHeight="1">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0.0148</v>
      </c>
      <c r="G23" s="55">
        <v>0.0197</v>
      </c>
      <c r="I23" s="332" t="s">
        <v>48</v>
      </c>
      <c r="J23" s="332"/>
      <c r="K23" s="332"/>
      <c r="L23" s="332"/>
      <c r="M23" s="60" t="s">
        <v>49</v>
      </c>
      <c r="N23" s="61">
        <v>0.0365</v>
      </c>
      <c r="O23" s="62" t="s">
        <v>46</v>
      </c>
      <c r="P23" s="63">
        <v>0.0365</v>
      </c>
      <c r="Q23" s="63">
        <v>0.0365</v>
      </c>
      <c r="R23" s="63">
        <v>0.0365</v>
      </c>
      <c r="T23" s="330"/>
      <c r="U23" s="330"/>
    </row>
    <row r="24" spans="1:21" ht="26.25" customHeight="1">
      <c r="A24" s="52" t="str">
        <f>A23</f>
        <v>Construção e Manutenção de Estações e Redes de Distribuição de Energia Elétrica</v>
      </c>
      <c r="B24" s="54" t="s">
        <v>32</v>
      </c>
      <c r="C24" s="52" t="str">
        <f t="shared" si="0"/>
        <v>Construção e Manutenção de Estações e Redes de Distribuição de Energia Elétrica-DF</v>
      </c>
      <c r="E24" s="55">
        <v>0.0101</v>
      </c>
      <c r="F24" s="55">
        <v>0.010700000000000001</v>
      </c>
      <c r="G24" s="55">
        <v>0.0111</v>
      </c>
      <c r="I24" s="318" t="s">
        <v>50</v>
      </c>
      <c r="J24" s="318"/>
      <c r="K24" s="318"/>
      <c r="L24" s="318"/>
      <c r="M24" s="60" t="s">
        <v>51</v>
      </c>
      <c r="N24" s="63">
        <f>IF($I$11&lt;&gt;$A$58,Q14*Q13,0)</f>
        <v>0.025</v>
      </c>
      <c r="O24" s="62" t="s">
        <v>46</v>
      </c>
      <c r="P24" s="63">
        <v>0</v>
      </c>
      <c r="Q24" s="63">
        <v>0.025</v>
      </c>
      <c r="R24" s="63">
        <v>0.05</v>
      </c>
      <c r="T24" s="330"/>
      <c r="U24" s="330"/>
    </row>
    <row r="25" spans="1:18" ht="26.25" customHeight="1">
      <c r="A25" s="52" t="str">
        <f>A24</f>
        <v>Construção e Manutenção de Estações e Redes de Distribuição de Energia Elétrica</v>
      </c>
      <c r="B25" s="54" t="s">
        <v>163</v>
      </c>
      <c r="C25" s="52" t="str">
        <f t="shared" si="0"/>
        <v>Construção e Manutenção de Estações e Redes de Distribuição de Energia Elétrica-L</v>
      </c>
      <c r="E25" s="55">
        <v>0.08</v>
      </c>
      <c r="F25" s="55">
        <v>0.08310000000000001</v>
      </c>
      <c r="G25" s="55">
        <v>0.0951</v>
      </c>
      <c r="I25" s="318" t="s">
        <v>116</v>
      </c>
      <c r="J25" s="318"/>
      <c r="K25" s="318"/>
      <c r="L25" s="318"/>
      <c r="M25" s="60" t="s">
        <v>52</v>
      </c>
      <c r="N25" s="63">
        <f>IF(AND($I$11&lt;&gt;$A$58,Q11="Sim"),4.5%,0%)</f>
        <v>0</v>
      </c>
      <c r="O25" s="62" t="str">
        <f>IF(AND(N25&gt;=P25,N25&lt;=R25),"OK","Não OK")</f>
        <v>OK</v>
      </c>
      <c r="P25" s="64">
        <v>0</v>
      </c>
      <c r="Q25" s="64">
        <v>0.045</v>
      </c>
      <c r="R25" s="64">
        <v>0.045</v>
      </c>
    </row>
    <row r="26" spans="1:31" ht="30.75" customHeight="1">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v>
      </c>
      <c r="G26" s="55">
        <v>0.2786</v>
      </c>
      <c r="I26" s="318" t="s">
        <v>53</v>
      </c>
      <c r="J26" s="318"/>
      <c r="K26" s="318"/>
      <c r="L26" s="318"/>
      <c r="M26" s="65" t="s">
        <v>33</v>
      </c>
      <c r="N26" s="63">
        <f>IF($I$11=$A$58,0,ROUND((((1+N18+N19+N20)*(1+N21)*(1+N22)/(1-(N23+N24)))-1),4))</f>
        <v>0.206</v>
      </c>
      <c r="O26" s="106" t="str">
        <f>IF(OR($I$11=$A$59,$I$11=$A$58,AND(N26&gt;=P26,N26&lt;=R26)),"OK","FORA DO INTERVALO")</f>
        <v>OK</v>
      </c>
      <c r="P26" s="63">
        <f>IF($I$11=$A$58,0,VLOOKUP(CONCATENATE($I$11,"-",$M26),$C$2:$G$49,3,FALSE))</f>
        <v>0.2034</v>
      </c>
      <c r="Q26" s="63">
        <f>IF($I$11=$A$58,0,VLOOKUP(CONCATENATE($I$11,"-",$M26),$C$2:$G$49,4,FALSE))</f>
        <v>0.2212</v>
      </c>
      <c r="R26" s="63">
        <f>IF($I$11=$A$58,0,VLOOKUP(CONCATENATE($I$11,"-",$M26),$C$2:$G$49,5,FALSE))</f>
        <v>0.25</v>
      </c>
      <c r="T26" s="107"/>
      <c r="V26" s="108"/>
      <c r="W26" s="108"/>
      <c r="X26" s="108"/>
      <c r="Y26" s="108"/>
      <c r="Z26" s="108"/>
      <c r="AA26" s="108"/>
      <c r="AB26" s="108"/>
      <c r="AC26" s="108"/>
      <c r="AD26" s="108"/>
      <c r="AE26" s="108"/>
    </row>
    <row r="27" spans="1:23" ht="30" customHeight="1">
      <c r="A27" s="52" t="s">
        <v>54</v>
      </c>
      <c r="B27" s="54" t="s">
        <v>29</v>
      </c>
      <c r="C27" s="52" t="str">
        <f t="shared" si="0"/>
        <v>Obras Portuárias, Marítimas e Fluviais-AC</v>
      </c>
      <c r="E27" s="55">
        <v>0.04</v>
      </c>
      <c r="F27" s="55">
        <v>0.0552</v>
      </c>
      <c r="G27" s="55">
        <v>0.0785</v>
      </c>
      <c r="I27" s="319" t="s">
        <v>55</v>
      </c>
      <c r="J27" s="319"/>
      <c r="K27" s="319"/>
      <c r="L27" s="319"/>
      <c r="M27" s="66" t="s">
        <v>56</v>
      </c>
      <c r="N27" s="67">
        <f>IF($I$11=$A$58,0,ROUND((((1+N18+N19+N20)*(1+N21)*(1+N22)/(1-(N23+N24+N25)))-1),4))</f>
        <v>0.206</v>
      </c>
      <c r="O27" s="110" t="str">
        <f>IF(Q11&lt;&gt;"Sim","",O26)</f>
        <v/>
      </c>
      <c r="P27" s="320"/>
      <c r="Q27" s="320"/>
      <c r="R27" s="320"/>
      <c r="T27" s="107"/>
      <c r="V27" s="111" t="b">
        <f>AND(COUNTA(N18:N23)=6,O26&lt;&gt;"ok",NOT(V29))</f>
        <v>0</v>
      </c>
      <c r="W27" s="52" t="s">
        <v>118</v>
      </c>
    </row>
    <row r="28" spans="1:22" ht="7.5" customHeight="1">
      <c r="A28" s="52" t="str">
        <f>A27</f>
        <v>Obras Portuárias, Marítimas e Fluviais</v>
      </c>
      <c r="B28" s="54" t="s">
        <v>30</v>
      </c>
      <c r="C28" s="52" t="str">
        <f t="shared" si="0"/>
        <v>Obras Portuárias, Marítimas e Fluviais-SG</v>
      </c>
      <c r="E28" s="55">
        <v>0.008100000000000001</v>
      </c>
      <c r="F28" s="55">
        <v>0.012199999999999999</v>
      </c>
      <c r="G28" s="55">
        <v>0.0199</v>
      </c>
      <c r="V28" s="111"/>
    </row>
    <row r="29" spans="1:23" ht="21.75" customHeight="1">
      <c r="A29" s="52" t="str">
        <f>A28</f>
        <v>Obras Portuárias, Marítimas e Fluviais</v>
      </c>
      <c r="B29" s="54" t="s">
        <v>31</v>
      </c>
      <c r="C29" s="52" t="str">
        <f t="shared" si="0"/>
        <v>Obras Portuárias, Marítimas e Fluviais-R</v>
      </c>
      <c r="E29" s="55">
        <v>0.0146</v>
      </c>
      <c r="F29" s="55">
        <v>0.0232</v>
      </c>
      <c r="G29" s="55">
        <v>0.0316</v>
      </c>
      <c r="I29" s="109" t="str">
        <f>IF(V29,"X","")</f>
        <v/>
      </c>
      <c r="J29" s="317" t="s">
        <v>117</v>
      </c>
      <c r="K29" s="317"/>
      <c r="L29" s="317"/>
      <c r="M29" s="317"/>
      <c r="N29" s="317"/>
      <c r="O29" s="317"/>
      <c r="P29" s="317"/>
      <c r="Q29" s="317"/>
      <c r="R29" s="317"/>
      <c r="V29" s="111" t="b">
        <v>0</v>
      </c>
      <c r="W29" s="52" t="s">
        <v>119</v>
      </c>
    </row>
    <row r="30" spans="2:22" ht="7.5" customHeight="1">
      <c r="B30" s="54"/>
      <c r="E30" s="55"/>
      <c r="F30" s="55"/>
      <c r="G30" s="55"/>
      <c r="V30" s="111"/>
    </row>
    <row r="31" spans="2:18" ht="18.75" customHeight="1">
      <c r="B31" s="54"/>
      <c r="E31" s="55"/>
      <c r="F31" s="55"/>
      <c r="G31" s="55"/>
      <c r="I31" s="322" t="s">
        <v>61</v>
      </c>
      <c r="J31" s="322"/>
      <c r="K31" s="322"/>
      <c r="L31" s="322"/>
      <c r="M31" s="322"/>
      <c r="N31" s="322"/>
      <c r="O31" s="322"/>
      <c r="P31" s="322"/>
      <c r="Q31" s="322"/>
      <c r="R31" s="322"/>
    </row>
    <row r="32" spans="1:18" ht="30" customHeight="1">
      <c r="A32" s="52" t="str">
        <f>A29</f>
        <v>Obras Portuárias, Marítimas e Fluviais</v>
      </c>
      <c r="B32" s="54" t="s">
        <v>32</v>
      </c>
      <c r="C32" s="52" t="str">
        <f t="shared" si="0"/>
        <v>Obras Portuárias, Marítimas e Fluviais-DF</v>
      </c>
      <c r="E32" s="55">
        <v>0.009399999999999999</v>
      </c>
      <c r="F32" s="55">
        <v>0.0102</v>
      </c>
      <c r="G32" s="55">
        <v>0.013300000000000001</v>
      </c>
      <c r="I32" s="100"/>
      <c r="J32" s="100"/>
      <c r="K32" s="100"/>
      <c r="L32" s="338" t="str">
        <f>IF(Q11="Sim","BDI.DES =","BDI.PAD =")</f>
        <v>BDI.PAD =</v>
      </c>
      <c r="M32" s="336" t="str">
        <f>IF($I$11=$A$59,"(1+K1+K2)*(1+K3)","(1+AC + S + R + G)*(1 + DF)*(1+L)")</f>
        <v>(1+AC + S + R + G)*(1 + DF)*(1+L)</v>
      </c>
      <c r="N32" s="336"/>
      <c r="O32" s="336"/>
      <c r="P32" s="334" t="s">
        <v>108</v>
      </c>
      <c r="Q32" s="100"/>
      <c r="R32" s="100"/>
    </row>
    <row r="33" spans="1:18" ht="27" customHeight="1">
      <c r="A33" s="52" t="str">
        <f>A32</f>
        <v>Obras Portuárias, Marítimas e Fluviais</v>
      </c>
      <c r="B33" s="54" t="s">
        <v>163</v>
      </c>
      <c r="C33" s="52" t="str">
        <f t="shared" si="0"/>
        <v>Obras Portuárias, Marítimas e Fluviais-L</v>
      </c>
      <c r="E33" s="55">
        <v>0.07139999999999999</v>
      </c>
      <c r="F33" s="55">
        <v>0.084</v>
      </c>
      <c r="G33" s="55">
        <v>0.1043</v>
      </c>
      <c r="I33" s="100"/>
      <c r="J33" s="100"/>
      <c r="K33" s="100"/>
      <c r="L33" s="338"/>
      <c r="M33" s="337" t="str">
        <f>IF(Q11="Sim","(1-CP-ISS-CRPB)","(1-CP-ISS)")</f>
        <v>(1-CP-ISS)</v>
      </c>
      <c r="N33" s="337"/>
      <c r="O33" s="337"/>
      <c r="P33" s="335"/>
      <c r="Q33" s="100"/>
      <c r="R33" s="100"/>
    </row>
    <row r="34" spans="1:18" ht="7.5" customHeight="1">
      <c r="A34" s="52" t="str">
        <f>A33</f>
        <v>Obras Portuárias, Marítimas e Fluviais</v>
      </c>
      <c r="B34" s="59" t="s">
        <v>33</v>
      </c>
      <c r="C34" s="52" t="str">
        <f t="shared" si="0"/>
        <v>Obras Portuárias, Marítimas e Fluviais-BDI PAD</v>
      </c>
      <c r="E34" s="55">
        <v>0.228</v>
      </c>
      <c r="F34" s="55">
        <v>0.2748</v>
      </c>
      <c r="G34" s="55">
        <v>0.3095</v>
      </c>
      <c r="I34" s="73"/>
      <c r="J34" s="73"/>
      <c r="K34" s="73"/>
      <c r="L34" s="73"/>
      <c r="M34" s="73"/>
      <c r="N34" s="73"/>
      <c r="O34" s="73"/>
      <c r="P34" s="73"/>
      <c r="Q34" s="73"/>
      <c r="R34" s="73"/>
    </row>
    <row r="35" spans="2:18" ht="45" customHeight="1">
      <c r="B35" s="59"/>
      <c r="E35" s="55"/>
      <c r="F35" s="55"/>
      <c r="G35" s="55"/>
      <c r="I35" s="323" t="str">
        <f>CONCATENATE("Declaro para os devidos fins que, conforme legislação tributária municipal, a base de cálculo para ",I11,", é de ",Q13*100,"%, com a respectiva alíquota de ",Q14*100,"%.")</f>
        <v>Declaro para os devidos fins que, conforme legislação tributária municipal, a base de cálculo para Construção e Reforma de Edifícios, é de 100%, com a respectiva alíquota de 2,5%.</v>
      </c>
      <c r="J35" s="323"/>
      <c r="K35" s="323"/>
      <c r="L35" s="323"/>
      <c r="M35" s="323"/>
      <c r="N35" s="323"/>
      <c r="O35" s="323"/>
      <c r="P35" s="323"/>
      <c r="Q35" s="323"/>
      <c r="R35" s="323"/>
    </row>
    <row r="36" spans="2:7" ht="11.25" customHeight="1">
      <c r="B36" s="59"/>
      <c r="E36" s="55"/>
      <c r="F36" s="55"/>
      <c r="G36" s="55"/>
    </row>
    <row r="37" spans="2:18" ht="52.5" customHeight="1">
      <c r="B37" s="59"/>
      <c r="E37" s="55"/>
      <c r="F37" s="55"/>
      <c r="G37" s="55"/>
      <c r="I37" s="323"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SEM Desoneração, e que esta é a alternativa mais adequada para a Administração Pública.</v>
      </c>
      <c r="J37" s="323"/>
      <c r="K37" s="323"/>
      <c r="L37" s="323"/>
      <c r="M37" s="323"/>
      <c r="N37" s="323"/>
      <c r="O37" s="323"/>
      <c r="P37" s="323"/>
      <c r="Q37" s="323"/>
      <c r="R37" s="323"/>
    </row>
    <row r="38" spans="1:7" ht="18" customHeight="1">
      <c r="A38" s="52" t="s">
        <v>137</v>
      </c>
      <c r="B38" s="54" t="s">
        <v>29</v>
      </c>
      <c r="C38" s="52" t="str">
        <f t="shared" si="0"/>
        <v>Fornecimento de Materiais e Equipamentos (aquisição indireta - em conjunto com licitação de obras)-AC</v>
      </c>
      <c r="E38" s="55">
        <v>0.015</v>
      </c>
      <c r="F38" s="55">
        <v>0.0345</v>
      </c>
      <c r="G38" s="55">
        <v>0.0449</v>
      </c>
    </row>
    <row r="39" spans="1:9" ht="12.75">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0.003</v>
      </c>
      <c r="F39" s="55">
        <v>0.0048</v>
      </c>
      <c r="G39" s="55">
        <v>0.008199999999999999</v>
      </c>
      <c r="I39" s="52" t="s">
        <v>21</v>
      </c>
    </row>
    <row r="40" spans="1:18" ht="42.75" customHeight="1">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0.005600000000000001</v>
      </c>
      <c r="F40" s="55">
        <v>0.0085</v>
      </c>
      <c r="G40" s="55">
        <v>0.0089</v>
      </c>
      <c r="I40" s="325"/>
      <c r="J40" s="326"/>
      <c r="K40" s="326"/>
      <c r="L40" s="326"/>
      <c r="M40" s="326"/>
      <c r="N40" s="326"/>
      <c r="O40" s="326"/>
      <c r="P40" s="326"/>
      <c r="Q40" s="326"/>
      <c r="R40" s="327"/>
    </row>
    <row r="41" spans="1:7" ht="16.5" customHeight="1">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0.0085</v>
      </c>
      <c r="F41" s="55">
        <v>0.0085</v>
      </c>
      <c r="G41" s="55">
        <v>0.0111</v>
      </c>
    </row>
    <row r="42" spans="1:18" ht="12.75">
      <c r="A42" s="52" t="str">
        <f>A41</f>
        <v>Fornecimento de Materiais e Equipamentos (aquisição indireta - em conjunto com licitação de obras)</v>
      </c>
      <c r="B42" s="54" t="s">
        <v>163</v>
      </c>
      <c r="C42" s="52" t="str">
        <f t="shared" si="0"/>
        <v>Fornecimento de Materiais e Equipamentos (aquisição indireta - em conjunto com licitação de obras)-L</v>
      </c>
      <c r="E42" s="55">
        <v>0.035</v>
      </c>
      <c r="F42" s="55">
        <v>0.051100000000000007</v>
      </c>
      <c r="G42" s="55">
        <v>0.0622</v>
      </c>
      <c r="I42" s="331" t="str">
        <f>PO!K185</f>
        <v>Fontoura Xavier /RS</v>
      </c>
      <c r="J42" s="331"/>
      <c r="K42" s="331"/>
      <c r="L42" s="331"/>
      <c r="O42" s="324">
        <f ca="1">PO!K188</f>
        <v>45148</v>
      </c>
      <c r="P42" s="324"/>
      <c r="Q42" s="324"/>
      <c r="R42" s="324"/>
    </row>
    <row r="43" spans="1:18" ht="15" customHeight="1">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0.1402</v>
      </c>
      <c r="G43" s="55">
        <v>0.168</v>
      </c>
      <c r="I43" s="350" t="s">
        <v>120</v>
      </c>
      <c r="J43" s="350"/>
      <c r="K43" s="350"/>
      <c r="L43" s="350"/>
      <c r="N43" s="68"/>
      <c r="O43" s="144" t="s">
        <v>121</v>
      </c>
      <c r="P43" s="145"/>
      <c r="Q43" s="145"/>
      <c r="R43" s="145"/>
    </row>
    <row r="44" spans="1:7" ht="12.75">
      <c r="A44" s="52" t="s">
        <v>59</v>
      </c>
      <c r="B44" s="54" t="s">
        <v>104</v>
      </c>
      <c r="C44" s="52" t="str">
        <f t="shared" si="0"/>
        <v>Estudos e Projetos, Planos e Gerenciamento e outros correlatos-K1</v>
      </c>
      <c r="E44" s="55" t="s">
        <v>46</v>
      </c>
      <c r="F44" s="55" t="s">
        <v>46</v>
      </c>
      <c r="G44" s="55" t="s">
        <v>46</v>
      </c>
    </row>
    <row r="45" spans="1:18" ht="30" customHeight="1">
      <c r="A45" s="52" t="str">
        <f>A44</f>
        <v>Estudos e Projetos, Planos e Gerenciamento e outros correlatos</v>
      </c>
      <c r="B45" s="54" t="s">
        <v>105</v>
      </c>
      <c r="C45" s="52" t="str">
        <f t="shared" si="0"/>
        <v>Estudos e Projetos, Planos e Gerenciamento e outros correlatos-K2</v>
      </c>
      <c r="E45" s="55" t="s">
        <v>46</v>
      </c>
      <c r="F45" s="55">
        <v>0.2</v>
      </c>
      <c r="G45" s="55" t="s">
        <v>46</v>
      </c>
      <c r="I45" s="321"/>
      <c r="J45" s="321"/>
      <c r="K45" s="321"/>
      <c r="L45" s="321"/>
      <c r="M45" s="69"/>
      <c r="N45" s="69"/>
      <c r="O45" s="321"/>
      <c r="P45" s="321"/>
      <c r="Q45" s="321"/>
      <c r="R45" s="321"/>
    </row>
    <row r="46" spans="1:18" ht="12.75">
      <c r="A46" s="52" t="str">
        <f>A45</f>
        <v>Estudos e Projetos, Planos e Gerenciamento e outros correlatos</v>
      </c>
      <c r="B46" s="54" t="s">
        <v>106</v>
      </c>
      <c r="C46" s="52" t="str">
        <f t="shared" si="0"/>
        <v>Estudos e Projetos, Planos e Gerenciamento e outros correlatos-</v>
      </c>
      <c r="E46" s="55" t="s">
        <v>46</v>
      </c>
      <c r="F46" s="55" t="s">
        <v>46</v>
      </c>
      <c r="G46" s="55" t="s">
        <v>46</v>
      </c>
      <c r="I46" s="328" t="s">
        <v>57</v>
      </c>
      <c r="J46" s="328"/>
      <c r="K46" s="328"/>
      <c r="L46" s="328"/>
      <c r="M46" s="70"/>
      <c r="N46" s="70"/>
      <c r="O46" s="328" t="s">
        <v>58</v>
      </c>
      <c r="P46" s="328"/>
      <c r="Q46" s="328"/>
      <c r="R46" s="328"/>
    </row>
    <row r="47" spans="1:18" ht="13.8">
      <c r="A47" s="52" t="str">
        <f>A46</f>
        <v>Estudos e Projetos, Planos e Gerenciamento e outros correlatos</v>
      </c>
      <c r="B47" s="54" t="s">
        <v>106</v>
      </c>
      <c r="C47" s="52" t="str">
        <f t="shared" si="0"/>
        <v>Estudos e Projetos, Planos e Gerenciamento e outros correlatos-</v>
      </c>
      <c r="E47" s="55" t="s">
        <v>46</v>
      </c>
      <c r="F47" s="55" t="s">
        <v>46</v>
      </c>
      <c r="G47" s="55" t="s">
        <v>46</v>
      </c>
      <c r="I47" s="29" t="s">
        <v>140</v>
      </c>
      <c r="J47" s="316" t="str">
        <f>DADOS!B54</f>
        <v>Augusto Ross</v>
      </c>
      <c r="K47" s="316"/>
      <c r="L47" s="316"/>
      <c r="M47" s="71"/>
      <c r="N47" s="71"/>
      <c r="O47" s="29" t="s">
        <v>140</v>
      </c>
      <c r="P47" s="329" t="s">
        <v>244</v>
      </c>
      <c r="Q47" s="329"/>
      <c r="R47" s="329"/>
    </row>
    <row r="48" spans="1:18" ht="13.8">
      <c r="A48" s="52" t="str">
        <f>A47</f>
        <v>Estudos e Projetos, Planos e Gerenciamento e outros correlatos</v>
      </c>
      <c r="B48" s="54" t="s">
        <v>107</v>
      </c>
      <c r="C48" s="52" t="str">
        <f t="shared" si="0"/>
        <v>Estudos e Projetos, Planos e Gerenciamento e outros correlatos-K3</v>
      </c>
      <c r="E48" s="55" t="s">
        <v>46</v>
      </c>
      <c r="F48" s="55">
        <v>0.12</v>
      </c>
      <c r="G48" s="55" t="s">
        <v>46</v>
      </c>
      <c r="I48" s="29" t="s">
        <v>17</v>
      </c>
      <c r="J48" s="316" t="str">
        <f>DADOS!B55</f>
        <v>Engenheiro Civil</v>
      </c>
      <c r="K48" s="316"/>
      <c r="L48" s="316"/>
      <c r="M48" s="71"/>
      <c r="N48" s="71"/>
      <c r="O48" s="29" t="s">
        <v>60</v>
      </c>
      <c r="P48" s="329" t="s">
        <v>235</v>
      </c>
      <c r="Q48" s="329"/>
      <c r="R48" s="329"/>
    </row>
    <row r="49" spans="1:18" ht="13.8">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9" t="str">
        <f>DADOS!A56</f>
        <v>CREA/CAU:</v>
      </c>
      <c r="J49" s="316" t="str">
        <f>DADOS!B56</f>
        <v>236486</v>
      </c>
      <c r="K49" s="316"/>
      <c r="L49" s="316"/>
      <c r="M49" s="71"/>
      <c r="N49" s="71"/>
      <c r="O49" s="71"/>
      <c r="P49" s="71"/>
      <c r="Q49" s="71"/>
      <c r="R49" s="71"/>
    </row>
    <row r="50" spans="9:12" ht="12.75">
      <c r="I50" s="29" t="str">
        <f>DADOS!A57</f>
        <v>ART/RRT:</v>
      </c>
      <c r="J50" s="316">
        <f>DADOS!B57</f>
        <v>0</v>
      </c>
      <c r="K50" s="316"/>
      <c r="L50" s="316"/>
    </row>
    <row r="51" ht="12.75"/>
    <row r="52" ht="12.75" hidden="1">
      <c r="A52" s="52" t="s">
        <v>28</v>
      </c>
    </row>
    <row r="53" ht="12.75" hidden="1">
      <c r="A53" s="52" t="s">
        <v>34</v>
      </c>
    </row>
    <row r="54" ht="12.75" hidden="1">
      <c r="A54" s="52" t="s">
        <v>37</v>
      </c>
    </row>
    <row r="55" ht="12.75" hidden="1">
      <c r="A55" s="52" t="s">
        <v>47</v>
      </c>
    </row>
    <row r="56" ht="12.75" hidden="1">
      <c r="A56" s="52" t="s">
        <v>54</v>
      </c>
    </row>
    <row r="57" ht="12.75" hidden="1">
      <c r="A57" s="52" t="s">
        <v>137</v>
      </c>
    </row>
    <row r="58" ht="12.75" hidden="1">
      <c r="A58" s="52" t="s">
        <v>138</v>
      </c>
    </row>
    <row r="59" ht="12.75" hidden="1">
      <c r="A59" s="52" t="s">
        <v>59</v>
      </c>
    </row>
    <row r="60" spans="1:7" ht="13.8" hidden="1">
      <c r="A60" s="72"/>
      <c r="B60" s="71"/>
      <c r="C60" s="71"/>
      <c r="D60" s="71"/>
      <c r="E60" s="71"/>
      <c r="F60" s="71"/>
      <c r="G60" s="71"/>
    </row>
  </sheetData>
  <sheetProtection sheet="1" objects="1" scenarios="1"/>
  <mergeCells count="55">
    <mergeCell ref="P48:R48"/>
    <mergeCell ref="I45:L45"/>
    <mergeCell ref="I43:L43"/>
    <mergeCell ref="Q13:R13"/>
    <mergeCell ref="I14:P14"/>
    <mergeCell ref="Q14:R14"/>
    <mergeCell ref="M16:M17"/>
    <mergeCell ref="I13:P13"/>
    <mergeCell ref="P16:P17"/>
    <mergeCell ref="Q16:Q17"/>
    <mergeCell ref="N16:N17"/>
    <mergeCell ref="I16:L17"/>
    <mergeCell ref="O16:O17"/>
    <mergeCell ref="I11:P11"/>
    <mergeCell ref="Q11:R11"/>
    <mergeCell ref="I4:J4"/>
    <mergeCell ref="K4:R4"/>
    <mergeCell ref="I5:J5"/>
    <mergeCell ref="K5:R5"/>
    <mergeCell ref="I7:R7"/>
    <mergeCell ref="I8:R8"/>
    <mergeCell ref="I10:P10"/>
    <mergeCell ref="Q10:R10"/>
    <mergeCell ref="T16:U24"/>
    <mergeCell ref="I42:L42"/>
    <mergeCell ref="I18:L18"/>
    <mergeCell ref="I19:L19"/>
    <mergeCell ref="I20:L20"/>
    <mergeCell ref="I21:L21"/>
    <mergeCell ref="I22:L22"/>
    <mergeCell ref="I23:L23"/>
    <mergeCell ref="I24:L24"/>
    <mergeCell ref="I25:L25"/>
    <mergeCell ref="R16:R17"/>
    <mergeCell ref="I37:R37"/>
    <mergeCell ref="P32:P33"/>
    <mergeCell ref="M32:O32"/>
    <mergeCell ref="M33:O33"/>
    <mergeCell ref="L32:L33"/>
    <mergeCell ref="J50:L50"/>
    <mergeCell ref="J29:R29"/>
    <mergeCell ref="I26:L26"/>
    <mergeCell ref="I27:L27"/>
    <mergeCell ref="P27:R27"/>
    <mergeCell ref="O45:R45"/>
    <mergeCell ref="I31:R31"/>
    <mergeCell ref="I35:R35"/>
    <mergeCell ref="O42:R42"/>
    <mergeCell ref="J49:L49"/>
    <mergeCell ref="I40:R40"/>
    <mergeCell ref="I46:L46"/>
    <mergeCell ref="O46:R46"/>
    <mergeCell ref="J47:L47"/>
    <mergeCell ref="P47:R47"/>
    <mergeCell ref="J48:L48"/>
  </mergeCells>
  <conditionalFormatting sqref="O42">
    <cfRule type="expression" priority="6" dxfId="517" stopIfTrue="1">
      <formula>$O$42=""</formula>
    </cfRule>
  </conditionalFormatting>
  <conditionalFormatting sqref="O18:O27">
    <cfRule type="expression" priority="11" dxfId="522" stopIfTrue="1">
      <formula>AND(O18&lt;&gt;"OK",O18&lt;&gt;"-",O18&lt;&gt;"")</formula>
    </cfRule>
    <cfRule type="cellIs" priority="12" dxfId="521" operator="equal" stopIfTrue="1">
      <formula>"OK"</formula>
    </cfRule>
  </conditionalFormatting>
  <conditionalFormatting sqref="I26:N26">
    <cfRule type="expression" priority="10" dxfId="520" stopIfTrue="1">
      <formula>$Q$11="Não"</formula>
    </cfRule>
  </conditionalFormatting>
  <conditionalFormatting sqref="I27:N27">
    <cfRule type="expression" priority="9" dxfId="519" stopIfTrue="1">
      <formula>$Q$11="sim"</formula>
    </cfRule>
  </conditionalFormatting>
  <conditionalFormatting sqref="P27:R27">
    <cfRule type="expression" priority="8" dxfId="518" stopIfTrue="1">
      <formula>$Q$11="sim"</formula>
    </cfRule>
  </conditionalFormatting>
  <conditionalFormatting sqref="P47:R48">
    <cfRule type="expression" priority="7" dxfId="517" stopIfTrue="1">
      <formula>P47=""</formula>
    </cfRule>
  </conditionalFormatting>
  <conditionalFormatting sqref="I29:R29">
    <cfRule type="expression" priority="3" dxfId="516" stopIfTrue="1">
      <formula>AND(NOT($V$27),NOT($V$29))</formula>
    </cfRule>
  </conditionalFormatting>
  <conditionalFormatting sqref="P18:R26">
    <cfRule type="expression" priority="2" dxfId="515" stopIfTrue="1">
      <formula>$I$11=$A$58</formula>
    </cfRule>
  </conditionalFormatting>
  <dataValidations count="6">
    <dataValidation type="list" allowBlank="1" showInputMessage="1" showErrorMessage="1" sqref="I11:P11">
      <formula1>$A$52:$A$59</formula1>
    </dataValidation>
    <dataValidation operator="greaterThanOrEqual" allowBlank="1" showInputMessage="1" showErrorMessage="1" errorTitle="Erro de valores" error="Digite um valor igual a 0% ou 2%." sqref="N25"/>
    <dataValidation type="decimal" allowBlank="1" showInputMessage="1" showErrorMessage="1" errorTitle="Erro de valores" error="Digite um valor maior do que 0." sqref="N24">
      <formula1>0</formula1>
      <formula2>1</formula2>
    </dataValidation>
    <dataValidation type="decimal" allowBlank="1" showInputMessage="1" showErrorMessage="1" promptTitle="Valores admissíveis:" prompt="Insira valores entre 0 e 100%." errorTitle="Valor não permitido" error="Digite um percentual entre 0% e 100%." sqref="Q13:R1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formula1>0</formula1>
    </dataValidation>
    <dataValidation type="decimal" allowBlank="1" showInputMessage="1" showErrorMessage="1" errorTitle="Erro de valores" error="Digite um valor entre 0% e 100%" sqref="N18:N23">
      <formula1>0</formula1>
      <formula2>1</formula2>
    </dataValidation>
  </dataValidations>
  <printOptions/>
  <pageMargins left="0.78740157480315" right="0.78740157480315" top="0.78740157480315" bottom="0.78740157480315" header="0.590551181102362" footer="0.590551181102362"/>
  <pageSetup fitToHeight="1" fitToWidth="1" horizontalDpi="600" verticalDpi="600" orientation="portrait" paperSize="9" scale="78" r:id="rId3"/>
  <headerFooter alignWithMargins="0">
    <oddHeader>&amp;C&amp;14I</oddHeader>
    <oddFooter>&amp;L27.476 v008   micro&amp;R&amp;P</oddFooter>
  </headerFooter>
  <ignoredErrors>
    <ignoredError sqref="V27" unlockedFormula="1"/>
    <ignoredError sqref="P32" numberStoredAsText="1"/>
  </ignoredErrors>
  <drawing r:id="rId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956B5-9455-4305-BDD9-77EFEC672916}">
  <sheetPr codeName="Plan5">
    <tabColor rgb="FFFFFF00"/>
    <pageSetUpPr fitToPage="1"/>
  </sheetPr>
  <dimension ref="A1:AE60"/>
  <sheetViews>
    <sheetView showGridLines="0" zoomScaleSheetLayoutView="100" zoomScalePageLayoutView="70" workbookViewId="0" topLeftCell="I7">
      <selection activeCell="N23" sqref="N23"/>
    </sheetView>
  </sheetViews>
  <sheetFormatPr defaultColWidth="0" defaultRowHeight="12.75" customHeight="1" zeroHeight="1"/>
  <cols>
    <col min="1" max="1" width="30.28125" style="52" hidden="1" customWidth="1"/>
    <col min="2" max="3" width="9.140625" style="52" hidden="1" customWidth="1"/>
    <col min="4" max="4" width="23.57421875" style="52" hidden="1" customWidth="1"/>
    <col min="5" max="8" width="9.140625" style="52" hidden="1" customWidth="1"/>
    <col min="9" max="14" width="10.7109375" style="52" customWidth="1"/>
    <col min="15" max="15" width="12.8515625" style="52" customWidth="1"/>
    <col min="16" max="18" width="10.7109375" style="52" customWidth="1"/>
    <col min="19" max="19" width="3.7109375" style="52" customWidth="1"/>
    <col min="20" max="20" width="29.57421875" style="52" customWidth="1"/>
    <col min="21" max="21" width="13.7109375" style="52" customWidth="1"/>
    <col min="22" max="16384" width="9.140625" style="52" hidden="1" customWidth="1"/>
  </cols>
  <sheetData>
    <row r="1" spans="5:18" ht="15" customHeight="1">
      <c r="E1" s="53" t="s">
        <v>25</v>
      </c>
      <c r="F1" s="53" t="s">
        <v>26</v>
      </c>
      <c r="G1" s="53" t="s">
        <v>27</v>
      </c>
      <c r="N1" s="56" t="str">
        <f ca="1">"Quadro de Composição do BDI "&amp;MID(CELL("nome.arquivo",N1),5+FIND("BDI (",CELL("nome.arquivo",N1)),1)</f>
        <v>Quadro de Composição do BDI 2</v>
      </c>
      <c r="Q1"/>
      <c r="R1"/>
    </row>
    <row r="2" spans="1:18" ht="12.75">
      <c r="A2" s="52" t="s">
        <v>28</v>
      </c>
      <c r="B2" s="54" t="s">
        <v>29</v>
      </c>
      <c r="C2" s="52" t="str">
        <f aca="true" t="shared" si="0" ref="C2:C49">CONCATENATE(A2,"-",B2)</f>
        <v>Construção e Reforma de Edifícios-AC</v>
      </c>
      <c r="E2" s="55">
        <v>0.03</v>
      </c>
      <c r="F2" s="55">
        <v>0.04</v>
      </c>
      <c r="G2" s="55">
        <v>0.055</v>
      </c>
      <c r="Q2"/>
      <c r="R2"/>
    </row>
    <row r="3" spans="1:7" ht="12.75">
      <c r="A3" s="52" t="str">
        <f>A2</f>
        <v>Construção e Reforma de Edifícios</v>
      </c>
      <c r="B3" s="54" t="s">
        <v>30</v>
      </c>
      <c r="C3" s="52" t="str">
        <f t="shared" si="0"/>
        <v>Construção e Reforma de Edifícios-SG</v>
      </c>
      <c r="E3" s="55">
        <v>0.008</v>
      </c>
      <c r="F3" s="55">
        <v>0.008</v>
      </c>
      <c r="G3" s="55">
        <v>0.01</v>
      </c>
    </row>
    <row r="4" spans="1:18" ht="12.75">
      <c r="A4" s="52" t="str">
        <f>A3</f>
        <v>Construção e Reforma de Edifícios</v>
      </c>
      <c r="B4" s="54" t="s">
        <v>31</v>
      </c>
      <c r="C4" s="52" t="str">
        <f t="shared" si="0"/>
        <v>Construção e Reforma de Edifícios-R</v>
      </c>
      <c r="E4" s="55">
        <v>0.0097</v>
      </c>
      <c r="F4" s="55">
        <v>0.0127</v>
      </c>
      <c r="G4" s="55">
        <v>0.0127</v>
      </c>
      <c r="I4" s="241" t="s">
        <v>149</v>
      </c>
      <c r="J4" s="252"/>
      <c r="K4" s="241" t="s">
        <v>172</v>
      </c>
      <c r="L4" s="242"/>
      <c r="M4" s="242"/>
      <c r="N4" s="242"/>
      <c r="O4" s="242"/>
      <c r="P4" s="242"/>
      <c r="Q4" s="242"/>
      <c r="R4" s="252"/>
    </row>
    <row r="5" spans="1:19" ht="12.75" customHeight="1">
      <c r="A5" s="52" t="str">
        <f>A4</f>
        <v>Construção e Reforma de Edifícios</v>
      </c>
      <c r="B5" s="54" t="s">
        <v>32</v>
      </c>
      <c r="C5" s="52" t="str">
        <f t="shared" si="0"/>
        <v>Construção e Reforma de Edifícios-DF</v>
      </c>
      <c r="E5" s="55">
        <v>0.0059</v>
      </c>
      <c r="F5" s="55">
        <v>0.0123</v>
      </c>
      <c r="G5" s="55">
        <v>0.0139</v>
      </c>
      <c r="I5" s="344" t="str">
        <f>DADOS!A29</f>
        <v>920647/2021</v>
      </c>
      <c r="J5" s="345"/>
      <c r="K5" s="346" t="str">
        <f>DADOS!A32</f>
        <v>Município de Fontoura Xavier</v>
      </c>
      <c r="L5" s="347"/>
      <c r="M5" s="347"/>
      <c r="N5" s="347"/>
      <c r="O5" s="347"/>
      <c r="P5" s="347"/>
      <c r="Q5" s="347"/>
      <c r="R5" s="348"/>
      <c r="S5" s="57"/>
    </row>
    <row r="6" spans="1:18" ht="6" customHeight="1">
      <c r="A6" s="52" t="str">
        <f>A5</f>
        <v>Construção e Reforma de Edifícios</v>
      </c>
      <c r="B6" s="54" t="s">
        <v>163</v>
      </c>
      <c r="C6" s="52" t="str">
        <f t="shared" si="0"/>
        <v>Construção e Reforma de Edifícios-L</v>
      </c>
      <c r="E6" s="55">
        <v>0.0616</v>
      </c>
      <c r="F6" s="55">
        <v>0.07400000000000001</v>
      </c>
      <c r="G6" s="55">
        <v>0.08960000000000001</v>
      </c>
      <c r="I6" s="58"/>
      <c r="J6" s="58"/>
      <c r="K6" s="58"/>
      <c r="L6" s="58"/>
      <c r="M6" s="58"/>
      <c r="N6" s="58"/>
      <c r="O6" s="58"/>
      <c r="P6" s="58"/>
      <c r="Q6" s="58"/>
      <c r="R6" s="58"/>
    </row>
    <row r="7" spans="1:18" ht="13.5" customHeight="1">
      <c r="A7" s="52" t="str">
        <f>A6</f>
        <v>Construção e Reforma de Edifícios</v>
      </c>
      <c r="B7" s="59" t="s">
        <v>33</v>
      </c>
      <c r="C7" s="52" t="str">
        <f t="shared" si="0"/>
        <v>Construção e Reforma de Edifícios-BDI PAD</v>
      </c>
      <c r="E7" s="55">
        <v>0.2034</v>
      </c>
      <c r="F7" s="55">
        <v>0.2212</v>
      </c>
      <c r="G7" s="55">
        <v>0.25</v>
      </c>
      <c r="I7" s="241" t="s">
        <v>0</v>
      </c>
      <c r="J7" s="242"/>
      <c r="K7" s="242"/>
      <c r="L7" s="242"/>
      <c r="M7" s="242"/>
      <c r="N7" s="242"/>
      <c r="O7" s="242"/>
      <c r="P7" s="242"/>
      <c r="Q7" s="242"/>
      <c r="R7" s="252"/>
    </row>
    <row r="8" spans="1:18" ht="24.75" customHeight="1">
      <c r="A8" s="52" t="s">
        <v>34</v>
      </c>
      <c r="B8" s="54" t="s">
        <v>29</v>
      </c>
      <c r="C8" s="52" t="str">
        <f t="shared" si="0"/>
        <v>Construção de Praças Urbanas, Rodovias, Ferrovias e recapeamento e pavimentação de vias urbanas-AC</v>
      </c>
      <c r="E8" s="55">
        <v>0.038</v>
      </c>
      <c r="F8" s="55">
        <v>0.0401</v>
      </c>
      <c r="G8" s="55">
        <v>0.0467</v>
      </c>
      <c r="I8" s="349" t="str">
        <f>DADOS!P29</f>
        <v xml:space="preserve">Construçaõ dos Centros de Comercialização de Produtos Associados ao Turismo </v>
      </c>
      <c r="J8" s="349"/>
      <c r="K8" s="349"/>
      <c r="L8" s="349"/>
      <c r="M8" s="349"/>
      <c r="N8" s="349"/>
      <c r="O8" s="349"/>
      <c r="P8" s="349"/>
      <c r="Q8" s="349"/>
      <c r="R8" s="349"/>
    </row>
    <row r="9" spans="1:18" ht="6" customHeight="1">
      <c r="A9" s="52" t="s">
        <v>34</v>
      </c>
      <c r="B9" s="54" t="s">
        <v>30</v>
      </c>
      <c r="C9" s="52" t="str">
        <f t="shared" si="0"/>
        <v>Construção de Praças Urbanas, Rodovias, Ferrovias e recapeamento e pavimentação de vias urbanas-SG</v>
      </c>
      <c r="E9" s="55">
        <v>0.0032</v>
      </c>
      <c r="F9" s="55">
        <v>0.004</v>
      </c>
      <c r="G9" s="55">
        <v>0.0074</v>
      </c>
      <c r="I9" s="58"/>
      <c r="J9" s="58"/>
      <c r="K9" s="58"/>
      <c r="L9" s="58"/>
      <c r="M9" s="58"/>
      <c r="N9" s="58"/>
      <c r="O9" s="58"/>
      <c r="P9" s="58"/>
      <c r="Q9" s="58"/>
      <c r="R9" s="58"/>
    </row>
    <row r="10" spans="1:18" ht="12.75">
      <c r="A10" s="52" t="s">
        <v>34</v>
      </c>
      <c r="B10" s="54" t="s">
        <v>31</v>
      </c>
      <c r="C10" s="52" t="str">
        <f t="shared" si="0"/>
        <v>Construção de Praças Urbanas, Rodovias, Ferrovias e recapeamento e pavimentação de vias urbanas-R</v>
      </c>
      <c r="E10" s="55">
        <v>0.005</v>
      </c>
      <c r="F10" s="55">
        <v>0.005600000000000001</v>
      </c>
      <c r="G10" s="55">
        <v>0.0097</v>
      </c>
      <c r="I10" s="241" t="s">
        <v>35</v>
      </c>
      <c r="J10" s="242"/>
      <c r="K10" s="242"/>
      <c r="L10" s="242"/>
      <c r="M10" s="242"/>
      <c r="N10" s="242"/>
      <c r="O10" s="242"/>
      <c r="P10" s="242"/>
      <c r="Q10" s="241" t="s">
        <v>13</v>
      </c>
      <c r="R10" s="252"/>
    </row>
    <row r="11" spans="1:18" ht="12.75">
      <c r="A11" s="52" t="s">
        <v>34</v>
      </c>
      <c r="B11" s="54" t="s">
        <v>32</v>
      </c>
      <c r="C11" s="52" t="str">
        <f t="shared" si="0"/>
        <v>Construção de Praças Urbanas, Rodovias, Ferrovias e recapeamento e pavimentação de vias urbanas-DF</v>
      </c>
      <c r="E11" s="55">
        <v>0.0102</v>
      </c>
      <c r="F11" s="55">
        <v>0.0111</v>
      </c>
      <c r="G11" s="55">
        <v>0.0121</v>
      </c>
      <c r="I11" s="339" t="s">
        <v>137</v>
      </c>
      <c r="J11" s="340"/>
      <c r="K11" s="340"/>
      <c r="L11" s="340"/>
      <c r="M11" s="340"/>
      <c r="N11" s="340"/>
      <c r="O11" s="340"/>
      <c r="P11" s="341"/>
      <c r="Q11" s="342" t="str">
        <f>DADOS!$C$38</f>
        <v>Não</v>
      </c>
      <c r="R11" s="343"/>
    </row>
    <row r="12" spans="1:7" ht="12.75">
      <c r="A12" s="52" t="s">
        <v>34</v>
      </c>
      <c r="B12" s="54" t="s">
        <v>163</v>
      </c>
      <c r="C12" s="52" t="str">
        <f t="shared" si="0"/>
        <v>Construção de Praças Urbanas, Rodovias, Ferrovias e recapeamento e pavimentação de vias urbanas-L</v>
      </c>
      <c r="E12" s="55">
        <v>0.0664</v>
      </c>
      <c r="F12" s="55">
        <v>0.073</v>
      </c>
      <c r="G12" s="55">
        <v>0.08689999999999999</v>
      </c>
    </row>
    <row r="13" spans="1:18" ht="15" customHeight="1">
      <c r="A13" s="52" t="s">
        <v>34</v>
      </c>
      <c r="B13" s="59" t="s">
        <v>33</v>
      </c>
      <c r="C13" s="52" t="str">
        <f t="shared" si="0"/>
        <v>Construção de Praças Urbanas, Rodovias, Ferrovias e recapeamento e pavimentação de vias urbanas-BDI PAD</v>
      </c>
      <c r="E13" s="55">
        <v>0.196</v>
      </c>
      <c r="F13" s="55">
        <v>0.2097</v>
      </c>
      <c r="G13" s="55">
        <v>0.24230000000000002</v>
      </c>
      <c r="I13" s="354" t="s">
        <v>36</v>
      </c>
      <c r="J13" s="354"/>
      <c r="K13" s="354"/>
      <c r="L13" s="354"/>
      <c r="M13" s="354"/>
      <c r="N13" s="354"/>
      <c r="O13" s="354"/>
      <c r="P13" s="354"/>
      <c r="Q13" s="351">
        <v>1</v>
      </c>
      <c r="R13" s="351"/>
    </row>
    <row r="14" spans="1:18" ht="15" customHeight="1">
      <c r="A14" s="52" t="s">
        <v>37</v>
      </c>
      <c r="B14" s="54" t="s">
        <v>29</v>
      </c>
      <c r="C14" s="52" t="str">
        <f t="shared" si="0"/>
        <v>Construção de Redes de Abastecimento de Água, Coleta de Esgoto-AC</v>
      </c>
      <c r="E14" s="55">
        <v>0.034300000000000004</v>
      </c>
      <c r="F14" s="55">
        <v>0.0493</v>
      </c>
      <c r="G14" s="55">
        <v>0.06709999999999999</v>
      </c>
      <c r="I14" s="352" t="s">
        <v>38</v>
      </c>
      <c r="J14" s="352"/>
      <c r="K14" s="352"/>
      <c r="L14" s="352"/>
      <c r="M14" s="352"/>
      <c r="N14" s="352"/>
      <c r="O14" s="352"/>
      <c r="P14" s="352"/>
      <c r="Q14" s="351">
        <v>0</v>
      </c>
      <c r="R14" s="351"/>
    </row>
    <row r="15" spans="1:7" ht="12.75">
      <c r="A15" s="52" t="str">
        <f>A14</f>
        <v>Construção de Redes de Abastecimento de Água, Coleta de Esgoto</v>
      </c>
      <c r="B15" s="54" t="s">
        <v>30</v>
      </c>
      <c r="C15" s="52" t="str">
        <f t="shared" si="0"/>
        <v>Construção de Redes de Abastecimento de Água, Coleta de Esgoto-SG</v>
      </c>
      <c r="E15" s="55">
        <v>0.0028000000000000004</v>
      </c>
      <c r="F15" s="55">
        <v>0.0049</v>
      </c>
      <c r="G15" s="55">
        <v>0.0075</v>
      </c>
    </row>
    <row r="16" spans="2:29" ht="12.75" customHeight="1">
      <c r="B16" s="54"/>
      <c r="E16" s="55"/>
      <c r="F16" s="55"/>
      <c r="G16" s="55"/>
      <c r="I16" s="353" t="s">
        <v>39</v>
      </c>
      <c r="J16" s="353"/>
      <c r="K16" s="353"/>
      <c r="L16" s="353"/>
      <c r="M16" s="353" t="s">
        <v>40</v>
      </c>
      <c r="N16" s="356" t="s">
        <v>41</v>
      </c>
      <c r="O16" s="356" t="s">
        <v>42</v>
      </c>
      <c r="P16" s="355" t="s">
        <v>43</v>
      </c>
      <c r="Q16" s="355" t="s">
        <v>44</v>
      </c>
      <c r="R16" s="333" t="s">
        <v>45</v>
      </c>
      <c r="T16" s="330" t="str">
        <f>IF(V27,"Para BDI fora do intervalo estatístico, deve ser apresentado Relatório Técnico Circunstanciado justificando a adoção do percentual de cada parcela do BDI.","")</f>
        <v/>
      </c>
      <c r="U16" s="330"/>
      <c r="V16" s="108"/>
      <c r="W16" s="108"/>
      <c r="X16" s="108"/>
      <c r="Y16" s="108"/>
      <c r="Z16" s="108"/>
      <c r="AA16" s="108"/>
      <c r="AB16" s="108"/>
      <c r="AC16" s="108"/>
    </row>
    <row r="17" spans="1:29" ht="15.75" customHeight="1">
      <c r="A17" s="52" t="str">
        <f>A15</f>
        <v>Construção de Redes de Abastecimento de Água, Coleta de Esgoto</v>
      </c>
      <c r="B17" s="54" t="s">
        <v>31</v>
      </c>
      <c r="C17" s="52" t="str">
        <f t="shared" si="0"/>
        <v>Construção de Redes de Abastecimento de Água, Coleta de Esgoto-R</v>
      </c>
      <c r="E17" s="55">
        <v>0.01</v>
      </c>
      <c r="F17" s="55">
        <v>0.0139</v>
      </c>
      <c r="G17" s="55">
        <v>0.0174</v>
      </c>
      <c r="I17" s="353"/>
      <c r="J17" s="353"/>
      <c r="K17" s="353"/>
      <c r="L17" s="353"/>
      <c r="M17" s="353"/>
      <c r="N17" s="356"/>
      <c r="O17" s="356"/>
      <c r="P17" s="355"/>
      <c r="Q17" s="355"/>
      <c r="R17" s="333"/>
      <c r="T17" s="330"/>
      <c r="U17" s="330"/>
      <c r="V17" s="108"/>
      <c r="W17" s="108"/>
      <c r="X17" s="108"/>
      <c r="Y17" s="108"/>
      <c r="Z17" s="108"/>
      <c r="AA17" s="108"/>
      <c r="AB17" s="108"/>
      <c r="AC17" s="108"/>
    </row>
    <row r="18" spans="1:29" ht="26.25" customHeight="1">
      <c r="A18" s="52" t="str">
        <f>A17</f>
        <v>Construção de Redes de Abastecimento de Água, Coleta de Esgoto</v>
      </c>
      <c r="B18" s="54" t="s">
        <v>32</v>
      </c>
      <c r="C18" s="52" t="str">
        <f t="shared" si="0"/>
        <v>Construção de Redes de Abastecimento de Água, Coleta de Esgoto-DF</v>
      </c>
      <c r="E18" s="55">
        <v>0.009399999999999999</v>
      </c>
      <c r="F18" s="55">
        <v>0.009899999999999999</v>
      </c>
      <c r="G18" s="55">
        <v>0.011699999999999999</v>
      </c>
      <c r="I18" s="318" t="str">
        <f>IF($I$11=$A$59,"Encargos Sociais incidentes sobre a mão de obra","Administração Central")</f>
        <v>Administração Central</v>
      </c>
      <c r="J18" s="318"/>
      <c r="K18" s="318"/>
      <c r="L18" s="318"/>
      <c r="M18" s="60" t="str">
        <f>IF($I$11=$A$59,"K1","AC")</f>
        <v>AC</v>
      </c>
      <c r="N18" s="61">
        <v>0.015</v>
      </c>
      <c r="O18" s="62" t="s">
        <v>46</v>
      </c>
      <c r="P18" s="63">
        <f>VLOOKUP(CONCATENATE(I$11,"-",M18),$C$2:$G$49,3,FALSE)</f>
        <v>0.015</v>
      </c>
      <c r="Q18" s="63">
        <f>VLOOKUP(CONCATENATE(I$11,"-",M18),$C$2:$G$49,4,FALSE)</f>
        <v>0.0345</v>
      </c>
      <c r="R18" s="63">
        <f>VLOOKUP(CONCATENATE(I$11,"-",M18),$C$2:$G$49,5,FALSE)</f>
        <v>0.0449</v>
      </c>
      <c r="T18" s="330"/>
      <c r="U18" s="330"/>
      <c r="V18" s="108"/>
      <c r="W18" s="108"/>
      <c r="X18" s="108"/>
      <c r="Y18" s="108"/>
      <c r="Z18" s="108"/>
      <c r="AA18" s="108"/>
      <c r="AB18" s="108"/>
      <c r="AC18" s="108"/>
    </row>
    <row r="19" spans="1:29" ht="26.25" customHeight="1">
      <c r="A19" s="52" t="str">
        <f>A18</f>
        <v>Construção de Redes de Abastecimento de Água, Coleta de Esgoto</v>
      </c>
      <c r="B19" s="54" t="s">
        <v>163</v>
      </c>
      <c r="C19" s="52" t="str">
        <f t="shared" si="0"/>
        <v>Construção de Redes de Abastecimento de Água, Coleta de Esgoto-L</v>
      </c>
      <c r="E19" s="55">
        <v>0.0674</v>
      </c>
      <c r="F19" s="55">
        <v>0.08039999999999999</v>
      </c>
      <c r="G19" s="55">
        <v>0.094</v>
      </c>
      <c r="I19" s="318" t="str">
        <f>IF($I$11=$A$59,"Administração Central da empresa ou consultoria - overhead","Seguro e Garantia")</f>
        <v>Seguro e Garantia</v>
      </c>
      <c r="J19" s="318"/>
      <c r="K19" s="318"/>
      <c r="L19" s="318"/>
      <c r="M19" s="60" t="str">
        <f>IF($I$11=$A$59,"K2","SG")</f>
        <v>SG</v>
      </c>
      <c r="N19" s="61">
        <v>0.003</v>
      </c>
      <c r="O19" s="62" t="s">
        <v>46</v>
      </c>
      <c r="P19" s="63">
        <f>VLOOKUP(CONCATENATE(I$11,"-",M19),$C$2:$G$49,3,FALSE)</f>
        <v>0.003</v>
      </c>
      <c r="Q19" s="63">
        <f>VLOOKUP(CONCATENATE(I$11,"-",M19),$C$2:$G$49,4,FALSE)</f>
        <v>0.0048</v>
      </c>
      <c r="R19" s="63">
        <f>VLOOKUP(CONCATENATE(I$11,"-",M19),$C$2:$G$49,5,FALSE)</f>
        <v>0.008199999999999999</v>
      </c>
      <c r="T19" s="330"/>
      <c r="U19" s="330"/>
      <c r="V19" s="108"/>
      <c r="W19" s="108"/>
      <c r="X19" s="108"/>
      <c r="Y19" s="108"/>
      <c r="Z19" s="108"/>
      <c r="AA19" s="108"/>
      <c r="AB19" s="108"/>
      <c r="AC19" s="108"/>
    </row>
    <row r="20" spans="1:29" ht="26.25" customHeight="1">
      <c r="A20" s="52" t="str">
        <f>A19</f>
        <v>Construção de Redes de Abastecimento de Água, Coleta de Esgoto</v>
      </c>
      <c r="B20" s="59" t="s">
        <v>33</v>
      </c>
      <c r="C20" s="52" t="str">
        <f t="shared" si="0"/>
        <v>Construção de Redes de Abastecimento de Água, Coleta de Esgoto-BDI PAD</v>
      </c>
      <c r="E20" s="55">
        <v>0.2076</v>
      </c>
      <c r="F20" s="55">
        <v>0.2418</v>
      </c>
      <c r="G20" s="55">
        <v>0.2644</v>
      </c>
      <c r="I20" s="318" t="str">
        <f>IF($I$11=$A$59,"","Risco")</f>
        <v>Risco</v>
      </c>
      <c r="J20" s="318"/>
      <c r="K20" s="318"/>
      <c r="L20" s="318"/>
      <c r="M20" s="60" t="str">
        <f>IF($I$11=$A$59,"","R")</f>
        <v>R</v>
      </c>
      <c r="N20" s="61">
        <v>0.0056</v>
      </c>
      <c r="O20" s="62" t="s">
        <v>46</v>
      </c>
      <c r="P20" s="63">
        <f>VLOOKUP(CONCATENATE(I$11,"-",M20),$C$2:$G$49,3,FALSE)</f>
        <v>0.005600000000000001</v>
      </c>
      <c r="Q20" s="63">
        <f>VLOOKUP(CONCATENATE(I$11,"-",M20),$C$2:$G$49,4,FALSE)</f>
        <v>0.0085</v>
      </c>
      <c r="R20" s="63">
        <f>VLOOKUP(CONCATENATE(I$11,"-",M20),$C$2:$G$49,5,FALSE)</f>
        <v>0.0089</v>
      </c>
      <c r="T20" s="330"/>
      <c r="U20" s="330"/>
      <c r="V20" s="108"/>
      <c r="W20" s="108"/>
      <c r="X20" s="108"/>
      <c r="Y20" s="108"/>
      <c r="Z20" s="108"/>
      <c r="AA20" s="108"/>
      <c r="AB20" s="108"/>
      <c r="AC20" s="108"/>
    </row>
    <row r="21" spans="1:21" ht="26.25" customHeight="1">
      <c r="A21" s="52" t="s">
        <v>47</v>
      </c>
      <c r="B21" s="54" t="s">
        <v>29</v>
      </c>
      <c r="C21" s="52" t="str">
        <f t="shared" si="0"/>
        <v>Construção e Manutenção de Estações e Redes de Distribuição de Energia Elétrica-AC</v>
      </c>
      <c r="E21" s="55">
        <v>0.0529</v>
      </c>
      <c r="F21" s="55">
        <v>0.0592</v>
      </c>
      <c r="G21" s="55">
        <v>0.0793</v>
      </c>
      <c r="I21" s="318" t="str">
        <f>IF($I$11=$A$59,"","Despesas Financeiras")</f>
        <v>Despesas Financeiras</v>
      </c>
      <c r="J21" s="318"/>
      <c r="K21" s="318"/>
      <c r="L21" s="318"/>
      <c r="M21" s="60" t="str">
        <f>IF($I$11=$A$59,"","DF")</f>
        <v>DF</v>
      </c>
      <c r="N21" s="61">
        <v>0.0085</v>
      </c>
      <c r="O21" s="62" t="s">
        <v>46</v>
      </c>
      <c r="P21" s="63">
        <f>VLOOKUP(CONCATENATE(I$11,"-",M21),$C$2:$G$49,3,FALSE)</f>
        <v>0.0085</v>
      </c>
      <c r="Q21" s="63">
        <f>VLOOKUP(CONCATENATE(I$11,"-",M21),$C$2:$G$49,4,FALSE)</f>
        <v>0.0085</v>
      </c>
      <c r="R21" s="63">
        <f>VLOOKUP(CONCATENATE(I$11,"-",M21),$C$2:$G$49,5,FALSE)</f>
        <v>0.0111</v>
      </c>
      <c r="T21" s="330"/>
      <c r="U21" s="330"/>
    </row>
    <row r="22" spans="1:21" ht="26.25" customHeight="1">
      <c r="A22" s="52" t="str">
        <f>A21</f>
        <v>Construção e Manutenção de Estações e Redes de Distribuição de Energia Elétrica</v>
      </c>
      <c r="B22" s="54" t="s">
        <v>30</v>
      </c>
      <c r="C22" s="52" t="str">
        <f t="shared" si="0"/>
        <v>Construção e Manutenção de Estações e Redes de Distribuição de Energia Elétrica-SG</v>
      </c>
      <c r="E22" s="55">
        <v>0.0025</v>
      </c>
      <c r="F22" s="55">
        <v>0.0051</v>
      </c>
      <c r="G22" s="55">
        <v>0.005600000000000001</v>
      </c>
      <c r="I22" s="318" t="str">
        <f>IF($I$11=$A$59,"Margem bruta da empresa de consultoria","Lucro")</f>
        <v>Lucro</v>
      </c>
      <c r="J22" s="318"/>
      <c r="K22" s="318"/>
      <c r="L22" s="318"/>
      <c r="M22" s="60" t="str">
        <f>IF($I$11=$A$59,"K3","L")</f>
        <v>L</v>
      </c>
      <c r="N22" s="61">
        <v>0.0511</v>
      </c>
      <c r="O22" s="62" t="s">
        <v>46</v>
      </c>
      <c r="P22" s="63">
        <f>VLOOKUP(CONCATENATE(I$11,"-",M22),$C$2:$G$49,3,FALSE)</f>
        <v>0.035</v>
      </c>
      <c r="Q22" s="63">
        <f>VLOOKUP(CONCATENATE(I$11,"-",M22),$C$2:$G$49,4,FALSE)</f>
        <v>0.051100000000000007</v>
      </c>
      <c r="R22" s="63">
        <f>VLOOKUP(CONCATENATE(I$11,"-",M22),$C$2:$G$49,5,FALSE)</f>
        <v>0.0622</v>
      </c>
      <c r="T22" s="330"/>
      <c r="U22" s="330"/>
    </row>
    <row r="23" spans="1:21" ht="26.25" customHeight="1">
      <c r="A23" s="52" t="str">
        <f>A22</f>
        <v>Construção e Manutenção de Estações e Redes de Distribuição de Energia Elétrica</v>
      </c>
      <c r="B23" s="54" t="s">
        <v>31</v>
      </c>
      <c r="C23" s="52" t="str">
        <f t="shared" si="0"/>
        <v>Construção e Manutenção de Estações e Redes de Distribuição de Energia Elétrica-R</v>
      </c>
      <c r="E23" s="55">
        <v>0.01</v>
      </c>
      <c r="F23" s="55">
        <v>0.0148</v>
      </c>
      <c r="G23" s="55">
        <v>0.0197</v>
      </c>
      <c r="I23" s="332" t="s">
        <v>48</v>
      </c>
      <c r="J23" s="332"/>
      <c r="K23" s="332"/>
      <c r="L23" s="332"/>
      <c r="M23" s="60" t="s">
        <v>49</v>
      </c>
      <c r="N23" s="61">
        <v>0.0365</v>
      </c>
      <c r="O23" s="62" t="s">
        <v>46</v>
      </c>
      <c r="P23" s="63">
        <v>0.0365</v>
      </c>
      <c r="Q23" s="63">
        <v>0.0365</v>
      </c>
      <c r="R23" s="63">
        <v>0.0365</v>
      </c>
      <c r="T23" s="330"/>
      <c r="U23" s="330"/>
    </row>
    <row r="24" spans="1:21" ht="26.25" customHeight="1">
      <c r="A24" s="52" t="str">
        <f>A23</f>
        <v>Construção e Manutenção de Estações e Redes de Distribuição de Energia Elétrica</v>
      </c>
      <c r="B24" s="54" t="s">
        <v>32</v>
      </c>
      <c r="C24" s="52" t="str">
        <f t="shared" si="0"/>
        <v>Construção e Manutenção de Estações e Redes de Distribuição de Energia Elétrica-DF</v>
      </c>
      <c r="E24" s="55">
        <v>0.0101</v>
      </c>
      <c r="F24" s="55">
        <v>0.010700000000000001</v>
      </c>
      <c r="G24" s="55">
        <v>0.0111</v>
      </c>
      <c r="I24" s="318" t="s">
        <v>50</v>
      </c>
      <c r="J24" s="318"/>
      <c r="K24" s="318"/>
      <c r="L24" s="318"/>
      <c r="M24" s="60" t="s">
        <v>51</v>
      </c>
      <c r="N24" s="63">
        <f>IF($I$11&lt;&gt;$A$58,Q14*Q13,0)</f>
        <v>0</v>
      </c>
      <c r="O24" s="62" t="s">
        <v>46</v>
      </c>
      <c r="P24" s="63">
        <v>0</v>
      </c>
      <c r="Q24" s="63">
        <v>0.025</v>
      </c>
      <c r="R24" s="63">
        <v>0.05</v>
      </c>
      <c r="T24" s="330"/>
      <c r="U24" s="330"/>
    </row>
    <row r="25" spans="1:18" ht="26.25" customHeight="1">
      <c r="A25" s="52" t="str">
        <f>A24</f>
        <v>Construção e Manutenção de Estações e Redes de Distribuição de Energia Elétrica</v>
      </c>
      <c r="B25" s="54" t="s">
        <v>163</v>
      </c>
      <c r="C25" s="52" t="str">
        <f t="shared" si="0"/>
        <v>Construção e Manutenção de Estações e Redes de Distribuição de Energia Elétrica-L</v>
      </c>
      <c r="E25" s="55">
        <v>0.08</v>
      </c>
      <c r="F25" s="55">
        <v>0.08310000000000001</v>
      </c>
      <c r="G25" s="55">
        <v>0.0951</v>
      </c>
      <c r="I25" s="318" t="s">
        <v>116</v>
      </c>
      <c r="J25" s="318"/>
      <c r="K25" s="318"/>
      <c r="L25" s="318"/>
      <c r="M25" s="60" t="s">
        <v>52</v>
      </c>
      <c r="N25" s="63">
        <f>IF(AND($I$11&lt;&gt;$A$58,Q11="Sim"),4.5%,0%)</f>
        <v>0</v>
      </c>
      <c r="O25" s="62" t="str">
        <f>IF(AND(N25&gt;=P25,N25&lt;=R25),"OK","Não OK")</f>
        <v>OK</v>
      </c>
      <c r="P25" s="64">
        <v>0</v>
      </c>
      <c r="Q25" s="64">
        <v>0.045</v>
      </c>
      <c r="R25" s="64">
        <v>0.045</v>
      </c>
    </row>
    <row r="26" spans="1:31" ht="30.75" customHeight="1">
      <c r="A26" s="52" t="str">
        <f>A25</f>
        <v>Construção e Manutenção de Estações e Redes de Distribuição de Energia Elétrica</v>
      </c>
      <c r="B26" s="59" t="s">
        <v>33</v>
      </c>
      <c r="C26" s="52" t="str">
        <f t="shared" si="0"/>
        <v>Construção e Manutenção de Estações e Redes de Distribuição de Energia Elétrica-BDI PAD</v>
      </c>
      <c r="E26" s="55">
        <v>0.24</v>
      </c>
      <c r="F26" s="55">
        <v>0.2584</v>
      </c>
      <c r="G26" s="55">
        <v>0.2786</v>
      </c>
      <c r="I26" s="318" t="s">
        <v>53</v>
      </c>
      <c r="J26" s="318"/>
      <c r="K26" s="318"/>
      <c r="L26" s="318"/>
      <c r="M26" s="65" t="s">
        <v>33</v>
      </c>
      <c r="N26" s="63">
        <f>IF($I$11=$A$58,0,ROUND((((1+N18+N19+N20)*(1+N21)*(1+N22)/(1-(N23+N24)))-1),4))</f>
        <v>0.1262</v>
      </c>
      <c r="O26" s="234" t="str">
        <f>IF(OR($I$11=$A$59,$I$11=$A$58,AND(N26&gt;=P26,N26&lt;=R26)),"OK","FORA DO INTERVALO")</f>
        <v>OK</v>
      </c>
      <c r="P26" s="63">
        <f>IF($I$11=$A$58,0,VLOOKUP(CONCATENATE($I$11,"-",$M26),$C$2:$G$49,3,FALSE))</f>
        <v>0.111</v>
      </c>
      <c r="Q26" s="63">
        <f>IF($I$11=$A$58,0,VLOOKUP(CONCATENATE($I$11,"-",$M26),$C$2:$G$49,4,FALSE))</f>
        <v>0.1402</v>
      </c>
      <c r="R26" s="63">
        <f>IF($I$11=$A$58,0,VLOOKUP(CONCATENATE($I$11,"-",$M26),$C$2:$G$49,5,FALSE))</f>
        <v>0.168</v>
      </c>
      <c r="T26" s="107"/>
      <c r="V26" s="108"/>
      <c r="W26" s="108"/>
      <c r="X26" s="108"/>
      <c r="Y26" s="108"/>
      <c r="Z26" s="108"/>
      <c r="AA26" s="108"/>
      <c r="AB26" s="108"/>
      <c r="AC26" s="108"/>
      <c r="AD26" s="108"/>
      <c r="AE26" s="108"/>
    </row>
    <row r="27" spans="1:23" ht="30" customHeight="1">
      <c r="A27" s="52" t="s">
        <v>54</v>
      </c>
      <c r="B27" s="54" t="s">
        <v>29</v>
      </c>
      <c r="C27" s="52" t="str">
        <f t="shared" si="0"/>
        <v>Obras Portuárias, Marítimas e Fluviais-AC</v>
      </c>
      <c r="E27" s="55">
        <v>0.04</v>
      </c>
      <c r="F27" s="55">
        <v>0.0552</v>
      </c>
      <c r="G27" s="55">
        <v>0.0785</v>
      </c>
      <c r="I27" s="319" t="s">
        <v>55</v>
      </c>
      <c r="J27" s="319"/>
      <c r="K27" s="319"/>
      <c r="L27" s="319"/>
      <c r="M27" s="66" t="s">
        <v>56</v>
      </c>
      <c r="N27" s="67">
        <f>IF($I$11=$A$58,0,ROUND((((1+N18+N19+N20)*(1+N21)*(1+N22)/(1-(N23+N24+N25)))-1),4))</f>
        <v>0.1262</v>
      </c>
      <c r="O27" s="110" t="str">
        <f>IF(Q11&lt;&gt;"Sim","",O26)</f>
        <v/>
      </c>
      <c r="P27" s="320"/>
      <c r="Q27" s="320"/>
      <c r="R27" s="320"/>
      <c r="T27" s="107"/>
      <c r="V27" s="111" t="b">
        <f>AND(COUNTA(N18:N23)=6,O26&lt;&gt;"ok",NOT(V29))</f>
        <v>0</v>
      </c>
      <c r="W27" s="52" t="s">
        <v>118</v>
      </c>
    </row>
    <row r="28" spans="1:22" ht="7.5" customHeight="1">
      <c r="A28" s="52" t="str">
        <f>A27</f>
        <v>Obras Portuárias, Marítimas e Fluviais</v>
      </c>
      <c r="B28" s="54" t="s">
        <v>30</v>
      </c>
      <c r="C28" s="52" t="str">
        <f t="shared" si="0"/>
        <v>Obras Portuárias, Marítimas e Fluviais-SG</v>
      </c>
      <c r="E28" s="55">
        <v>0.008100000000000001</v>
      </c>
      <c r="F28" s="55">
        <v>0.012199999999999999</v>
      </c>
      <c r="G28" s="55">
        <v>0.0199</v>
      </c>
      <c r="V28" s="111"/>
    </row>
    <row r="29" spans="1:23" ht="21.75" customHeight="1">
      <c r="A29" s="52" t="str">
        <f>A28</f>
        <v>Obras Portuárias, Marítimas e Fluviais</v>
      </c>
      <c r="B29" s="54" t="s">
        <v>31</v>
      </c>
      <c r="C29" s="52" t="str">
        <f t="shared" si="0"/>
        <v>Obras Portuárias, Marítimas e Fluviais-R</v>
      </c>
      <c r="E29" s="55">
        <v>0.0146</v>
      </c>
      <c r="F29" s="55">
        <v>0.0232</v>
      </c>
      <c r="G29" s="55">
        <v>0.0316</v>
      </c>
      <c r="I29" s="109" t="str">
        <f>IF(V29,"X","")</f>
        <v/>
      </c>
      <c r="J29" s="317" t="s">
        <v>117</v>
      </c>
      <c r="K29" s="317"/>
      <c r="L29" s="317"/>
      <c r="M29" s="317"/>
      <c r="N29" s="317"/>
      <c r="O29" s="317"/>
      <c r="P29" s="317"/>
      <c r="Q29" s="317"/>
      <c r="R29" s="317"/>
      <c r="V29" s="111" t="b">
        <v>0</v>
      </c>
      <c r="W29" s="52" t="s">
        <v>119</v>
      </c>
    </row>
    <row r="30" spans="2:22" ht="7.5" customHeight="1">
      <c r="B30" s="54"/>
      <c r="E30" s="55"/>
      <c r="F30" s="55"/>
      <c r="G30" s="55"/>
      <c r="V30" s="111"/>
    </row>
    <row r="31" spans="2:18" ht="18.75" customHeight="1">
      <c r="B31" s="54"/>
      <c r="E31" s="55"/>
      <c r="F31" s="55"/>
      <c r="G31" s="55"/>
      <c r="I31" s="322" t="s">
        <v>61</v>
      </c>
      <c r="J31" s="322"/>
      <c r="K31" s="322"/>
      <c r="L31" s="322"/>
      <c r="M31" s="322"/>
      <c r="N31" s="322"/>
      <c r="O31" s="322"/>
      <c r="P31" s="322"/>
      <c r="Q31" s="322"/>
      <c r="R31" s="322"/>
    </row>
    <row r="32" spans="1:18" ht="30" customHeight="1">
      <c r="A32" s="52" t="str">
        <f>A29</f>
        <v>Obras Portuárias, Marítimas e Fluviais</v>
      </c>
      <c r="B32" s="54" t="s">
        <v>32</v>
      </c>
      <c r="C32" s="52" t="str">
        <f t="shared" si="0"/>
        <v>Obras Portuárias, Marítimas e Fluviais-DF</v>
      </c>
      <c r="E32" s="55">
        <v>0.009399999999999999</v>
      </c>
      <c r="F32" s="55">
        <v>0.0102</v>
      </c>
      <c r="G32" s="55">
        <v>0.013300000000000001</v>
      </c>
      <c r="I32" s="100"/>
      <c r="J32" s="100"/>
      <c r="K32" s="100"/>
      <c r="L32" s="338" t="str">
        <f>IF(Q11="Sim","BDI.DES =","BDI.PAD =")</f>
        <v>BDI.PAD =</v>
      </c>
      <c r="M32" s="336" t="str">
        <f>IF($I$11=$A$59,"(1+K1+K2)*(1+K3)","(1+AC + S + R + G)*(1 + DF)*(1+L)")</f>
        <v>(1+AC + S + R + G)*(1 + DF)*(1+L)</v>
      </c>
      <c r="N32" s="336"/>
      <c r="O32" s="336"/>
      <c r="P32" s="334" t="s">
        <v>108</v>
      </c>
      <c r="Q32" s="100"/>
      <c r="R32" s="100"/>
    </row>
    <row r="33" spans="1:18" ht="27" customHeight="1">
      <c r="A33" s="52" t="str">
        <f>A32</f>
        <v>Obras Portuárias, Marítimas e Fluviais</v>
      </c>
      <c r="B33" s="54" t="s">
        <v>163</v>
      </c>
      <c r="C33" s="52" t="str">
        <f t="shared" si="0"/>
        <v>Obras Portuárias, Marítimas e Fluviais-L</v>
      </c>
      <c r="E33" s="55">
        <v>0.07139999999999999</v>
      </c>
      <c r="F33" s="55">
        <v>0.084</v>
      </c>
      <c r="G33" s="55">
        <v>0.1043</v>
      </c>
      <c r="I33" s="100"/>
      <c r="J33" s="100"/>
      <c r="K33" s="100"/>
      <c r="L33" s="338"/>
      <c r="M33" s="337" t="str">
        <f>IF(Q11="Sim","(1-CP-ISS-CRPB)","(1-CP-ISS)")</f>
        <v>(1-CP-ISS)</v>
      </c>
      <c r="N33" s="337"/>
      <c r="O33" s="337"/>
      <c r="P33" s="335"/>
      <c r="Q33" s="100"/>
      <c r="R33" s="100"/>
    </row>
    <row r="34" spans="1:18" ht="7.5" customHeight="1">
      <c r="A34" s="52" t="str">
        <f>A33</f>
        <v>Obras Portuárias, Marítimas e Fluviais</v>
      </c>
      <c r="B34" s="59" t="s">
        <v>33</v>
      </c>
      <c r="C34" s="52" t="str">
        <f t="shared" si="0"/>
        <v>Obras Portuárias, Marítimas e Fluviais-BDI PAD</v>
      </c>
      <c r="E34" s="55">
        <v>0.228</v>
      </c>
      <c r="F34" s="55">
        <v>0.2748</v>
      </c>
      <c r="G34" s="55">
        <v>0.3095</v>
      </c>
      <c r="I34" s="73"/>
      <c r="J34" s="73"/>
      <c r="K34" s="73"/>
      <c r="L34" s="73"/>
      <c r="M34" s="73"/>
      <c r="N34" s="73"/>
      <c r="O34" s="73"/>
      <c r="P34" s="73"/>
      <c r="Q34" s="73"/>
      <c r="R34" s="73"/>
    </row>
    <row r="35" spans="2:18" ht="45" customHeight="1">
      <c r="B35" s="59"/>
      <c r="E35" s="55"/>
      <c r="F35" s="55"/>
      <c r="G35" s="55"/>
      <c r="I35" s="323" t="str">
        <f>CONCATENATE("Declaro para os devidos fins que, conforme legislação tributária municipal, a base de cálculo para ",I11,", é de ",Q13*100,"%, com a respectiva alíquota de ",Q14*100,"%.")</f>
        <v>Declaro para os devidos fins que, conforme legislação tributária municipal, a base de cálculo para Fornecimento de Materiais e Equipamentos (aquisição indireta - em conjunto com licitação de obras), é de 100%, com a respectiva alíquota de 0%.</v>
      </c>
      <c r="J35" s="323"/>
      <c r="K35" s="323"/>
      <c r="L35" s="323"/>
      <c r="M35" s="323"/>
      <c r="N35" s="323"/>
      <c r="O35" s="323"/>
      <c r="P35" s="323"/>
      <c r="Q35" s="323"/>
      <c r="R35" s="323"/>
    </row>
    <row r="36" spans="2:7" ht="11.25" customHeight="1">
      <c r="B36" s="59"/>
      <c r="E36" s="55"/>
      <c r="F36" s="55"/>
      <c r="G36" s="55"/>
    </row>
    <row r="37" spans="2:18" ht="52.5" customHeight="1">
      <c r="B37" s="59"/>
      <c r="E37" s="55"/>
      <c r="F37" s="55"/>
      <c r="G37" s="55"/>
      <c r="I37" s="323" t="str">
        <f>CONCATENATE("Declaro para os devidos fins que o regime de Contribuição Previdenciária sobre a Receita Bruta adotado para elaboração do orçamento foi ",IF(Q11="Sim","COM","SEM")," Desoneração, e que esta é a alternativa mais adequada para a Administração Pública.")</f>
        <v>Declaro para os devidos fins que o regime de Contribuição Previdenciária sobre a Receita Bruta adotado para elaboração do orçamento foi SEM Desoneração, e que esta é a alternativa mais adequada para a Administração Pública.</v>
      </c>
      <c r="J37" s="323"/>
      <c r="K37" s="323"/>
      <c r="L37" s="323"/>
      <c r="M37" s="323"/>
      <c r="N37" s="323"/>
      <c r="O37" s="323"/>
      <c r="P37" s="323"/>
      <c r="Q37" s="323"/>
      <c r="R37" s="323"/>
    </row>
    <row r="38" spans="1:7" ht="18" customHeight="1">
      <c r="A38" s="52" t="s">
        <v>137</v>
      </c>
      <c r="B38" s="54" t="s">
        <v>29</v>
      </c>
      <c r="C38" s="52" t="str">
        <f t="shared" si="0"/>
        <v>Fornecimento de Materiais e Equipamentos (aquisição indireta - em conjunto com licitação de obras)-AC</v>
      </c>
      <c r="E38" s="55">
        <v>0.015</v>
      </c>
      <c r="F38" s="55">
        <v>0.0345</v>
      </c>
      <c r="G38" s="55">
        <v>0.0449</v>
      </c>
    </row>
    <row r="39" spans="1:9" ht="12.75">
      <c r="A39" s="52" t="str">
        <f>A38</f>
        <v>Fornecimento de Materiais e Equipamentos (aquisição indireta - em conjunto com licitação de obras)</v>
      </c>
      <c r="B39" s="54" t="s">
        <v>30</v>
      </c>
      <c r="C39" s="52" t="str">
        <f t="shared" si="0"/>
        <v>Fornecimento de Materiais e Equipamentos (aquisição indireta - em conjunto com licitação de obras)-SG</v>
      </c>
      <c r="E39" s="55">
        <v>0.003</v>
      </c>
      <c r="F39" s="55">
        <v>0.0048</v>
      </c>
      <c r="G39" s="55">
        <v>0.008199999999999999</v>
      </c>
      <c r="I39" s="52" t="s">
        <v>21</v>
      </c>
    </row>
    <row r="40" spans="1:18" ht="42.75" customHeight="1">
      <c r="A40" s="52" t="str">
        <f>A39</f>
        <v>Fornecimento de Materiais e Equipamentos (aquisição indireta - em conjunto com licitação de obras)</v>
      </c>
      <c r="B40" s="54" t="s">
        <v>31</v>
      </c>
      <c r="C40" s="52" t="str">
        <f t="shared" si="0"/>
        <v>Fornecimento de Materiais e Equipamentos (aquisição indireta - em conjunto com licitação de obras)-R</v>
      </c>
      <c r="E40" s="55">
        <v>0.005600000000000001</v>
      </c>
      <c r="F40" s="55">
        <v>0.0085</v>
      </c>
      <c r="G40" s="55">
        <v>0.0089</v>
      </c>
      <c r="I40" s="325"/>
      <c r="J40" s="326"/>
      <c r="K40" s="326"/>
      <c r="L40" s="326"/>
      <c r="M40" s="326"/>
      <c r="N40" s="326"/>
      <c r="O40" s="326"/>
      <c r="P40" s="326"/>
      <c r="Q40" s="326"/>
      <c r="R40" s="327"/>
    </row>
    <row r="41" spans="1:7" ht="16.5" customHeight="1">
      <c r="A41" s="52" t="str">
        <f>A40</f>
        <v>Fornecimento de Materiais e Equipamentos (aquisição indireta - em conjunto com licitação de obras)</v>
      </c>
      <c r="B41" s="54" t="s">
        <v>32</v>
      </c>
      <c r="C41" s="52" t="str">
        <f t="shared" si="0"/>
        <v>Fornecimento de Materiais e Equipamentos (aquisição indireta - em conjunto com licitação de obras)-DF</v>
      </c>
      <c r="E41" s="55">
        <v>0.0085</v>
      </c>
      <c r="F41" s="55">
        <v>0.0085</v>
      </c>
      <c r="G41" s="55">
        <v>0.0111</v>
      </c>
    </row>
    <row r="42" spans="1:18" ht="12.75">
      <c r="A42" s="52" t="str">
        <f>A41</f>
        <v>Fornecimento de Materiais e Equipamentos (aquisição indireta - em conjunto com licitação de obras)</v>
      </c>
      <c r="B42" s="54" t="s">
        <v>163</v>
      </c>
      <c r="C42" s="52" t="str">
        <f t="shared" si="0"/>
        <v>Fornecimento de Materiais e Equipamentos (aquisição indireta - em conjunto com licitação de obras)-L</v>
      </c>
      <c r="E42" s="55">
        <v>0.035</v>
      </c>
      <c r="F42" s="55">
        <v>0.051100000000000007</v>
      </c>
      <c r="G42" s="55">
        <v>0.0622</v>
      </c>
      <c r="I42" s="331" t="str">
        <f>PO!K185</f>
        <v>Fontoura Xavier /RS</v>
      </c>
      <c r="J42" s="331"/>
      <c r="K42" s="331"/>
      <c r="L42" s="331"/>
      <c r="O42" s="324">
        <f ca="1">PO!K188</f>
        <v>45148</v>
      </c>
      <c r="P42" s="324"/>
      <c r="Q42" s="324"/>
      <c r="R42" s="324"/>
    </row>
    <row r="43" spans="1:18" ht="15" customHeight="1">
      <c r="A43" s="52" t="str">
        <f>A42</f>
        <v>Fornecimento de Materiais e Equipamentos (aquisição indireta - em conjunto com licitação de obras)</v>
      </c>
      <c r="B43" s="59" t="s">
        <v>33</v>
      </c>
      <c r="C43" s="52" t="str">
        <f t="shared" si="0"/>
        <v>Fornecimento de Materiais e Equipamentos (aquisição indireta - em conjunto com licitação de obras)-BDI PAD</v>
      </c>
      <c r="E43" s="55">
        <v>0.111</v>
      </c>
      <c r="F43" s="55">
        <v>0.1402</v>
      </c>
      <c r="G43" s="55">
        <v>0.168</v>
      </c>
      <c r="I43" s="350" t="s">
        <v>120</v>
      </c>
      <c r="J43" s="350"/>
      <c r="K43" s="350"/>
      <c r="L43" s="350"/>
      <c r="N43" s="68"/>
      <c r="O43" s="144" t="s">
        <v>121</v>
      </c>
      <c r="P43" s="145"/>
      <c r="Q43" s="145"/>
      <c r="R43" s="145"/>
    </row>
    <row r="44" spans="1:7" ht="12.75">
      <c r="A44" s="52" t="s">
        <v>59</v>
      </c>
      <c r="B44" s="54" t="s">
        <v>104</v>
      </c>
      <c r="C44" s="52" t="str">
        <f t="shared" si="0"/>
        <v>Estudos e Projetos, Planos e Gerenciamento e outros correlatos-K1</v>
      </c>
      <c r="E44" s="55" t="s">
        <v>46</v>
      </c>
      <c r="F44" s="55" t="s">
        <v>46</v>
      </c>
      <c r="G44" s="55" t="s">
        <v>46</v>
      </c>
    </row>
    <row r="45" spans="1:18" ht="30" customHeight="1">
      <c r="A45" s="52" t="str">
        <f>A44</f>
        <v>Estudos e Projetos, Planos e Gerenciamento e outros correlatos</v>
      </c>
      <c r="B45" s="54" t="s">
        <v>105</v>
      </c>
      <c r="C45" s="52" t="str">
        <f t="shared" si="0"/>
        <v>Estudos e Projetos, Planos e Gerenciamento e outros correlatos-K2</v>
      </c>
      <c r="E45" s="55" t="s">
        <v>46</v>
      </c>
      <c r="F45" s="55">
        <v>0.2</v>
      </c>
      <c r="G45" s="55" t="s">
        <v>46</v>
      </c>
      <c r="I45" s="321"/>
      <c r="J45" s="321"/>
      <c r="K45" s="321"/>
      <c r="L45" s="321"/>
      <c r="M45" s="69"/>
      <c r="N45" s="69"/>
      <c r="O45" s="321"/>
      <c r="P45" s="321"/>
      <c r="Q45" s="321"/>
      <c r="R45" s="321"/>
    </row>
    <row r="46" spans="1:18" ht="12.75">
      <c r="A46" s="52" t="str">
        <f>A45</f>
        <v>Estudos e Projetos, Planos e Gerenciamento e outros correlatos</v>
      </c>
      <c r="B46" s="54" t="s">
        <v>106</v>
      </c>
      <c r="C46" s="52" t="str">
        <f t="shared" si="0"/>
        <v>Estudos e Projetos, Planos e Gerenciamento e outros correlatos-</v>
      </c>
      <c r="E46" s="55" t="s">
        <v>46</v>
      </c>
      <c r="F46" s="55" t="s">
        <v>46</v>
      </c>
      <c r="G46" s="55" t="s">
        <v>46</v>
      </c>
      <c r="I46" s="328" t="s">
        <v>57</v>
      </c>
      <c r="J46" s="328"/>
      <c r="K46" s="328"/>
      <c r="L46" s="328"/>
      <c r="M46" s="70"/>
      <c r="N46" s="70"/>
      <c r="O46" s="328" t="s">
        <v>58</v>
      </c>
      <c r="P46" s="328"/>
      <c r="Q46" s="328"/>
      <c r="R46" s="328"/>
    </row>
    <row r="47" spans="1:18" ht="13.8">
      <c r="A47" s="52" t="str">
        <f>A46</f>
        <v>Estudos e Projetos, Planos e Gerenciamento e outros correlatos</v>
      </c>
      <c r="B47" s="54" t="s">
        <v>106</v>
      </c>
      <c r="C47" s="52" t="str">
        <f t="shared" si="0"/>
        <v>Estudos e Projetos, Planos e Gerenciamento e outros correlatos-</v>
      </c>
      <c r="E47" s="55" t="s">
        <v>46</v>
      </c>
      <c r="F47" s="55" t="s">
        <v>46</v>
      </c>
      <c r="G47" s="55" t="s">
        <v>46</v>
      </c>
      <c r="I47" s="233" t="s">
        <v>140</v>
      </c>
      <c r="J47" s="316" t="str">
        <f>DADOS!B54</f>
        <v>Augusto Ross</v>
      </c>
      <c r="K47" s="316"/>
      <c r="L47" s="316"/>
      <c r="M47" s="71"/>
      <c r="N47" s="71"/>
      <c r="O47" s="233" t="s">
        <v>140</v>
      </c>
      <c r="P47" s="329" t="s">
        <v>244</v>
      </c>
      <c r="Q47" s="329"/>
      <c r="R47" s="329"/>
    </row>
    <row r="48" spans="1:18" ht="13.8">
      <c r="A48" s="52" t="str">
        <f>A47</f>
        <v>Estudos e Projetos, Planos e Gerenciamento e outros correlatos</v>
      </c>
      <c r="B48" s="54" t="s">
        <v>107</v>
      </c>
      <c r="C48" s="52" t="str">
        <f t="shared" si="0"/>
        <v>Estudos e Projetos, Planos e Gerenciamento e outros correlatos-K3</v>
      </c>
      <c r="E48" s="55" t="s">
        <v>46</v>
      </c>
      <c r="F48" s="55">
        <v>0.12</v>
      </c>
      <c r="G48" s="55" t="s">
        <v>46</v>
      </c>
      <c r="I48" s="233" t="s">
        <v>17</v>
      </c>
      <c r="J48" s="316" t="str">
        <f>DADOS!B55</f>
        <v>Engenheiro Civil</v>
      </c>
      <c r="K48" s="316"/>
      <c r="L48" s="316"/>
      <c r="M48" s="71"/>
      <c r="N48" s="71"/>
      <c r="O48" s="233" t="s">
        <v>60</v>
      </c>
      <c r="P48" s="329" t="s">
        <v>235</v>
      </c>
      <c r="Q48" s="329"/>
      <c r="R48" s="329"/>
    </row>
    <row r="49" spans="1:18" ht="13.8">
      <c r="A49" s="52" t="str">
        <f>A48</f>
        <v>Estudos e Projetos, Planos e Gerenciamento e outros correlatos</v>
      </c>
      <c r="B49" s="59" t="s">
        <v>33</v>
      </c>
      <c r="C49" s="52" t="str">
        <f t="shared" si="0"/>
        <v>Estudos e Projetos, Planos e Gerenciamento e outros correlatos-BDI PAD</v>
      </c>
      <c r="E49" s="55" t="s">
        <v>46</v>
      </c>
      <c r="F49" s="55" t="s">
        <v>46</v>
      </c>
      <c r="G49" s="55" t="s">
        <v>46</v>
      </c>
      <c r="I49" s="233" t="str">
        <f>DADOS!A56</f>
        <v>CREA/CAU:</v>
      </c>
      <c r="J49" s="316" t="str">
        <f>DADOS!B56</f>
        <v>236486</v>
      </c>
      <c r="K49" s="316"/>
      <c r="L49" s="316"/>
      <c r="M49" s="71"/>
      <c r="N49" s="71"/>
      <c r="O49" s="71"/>
      <c r="P49" s="71"/>
      <c r="Q49" s="71"/>
      <c r="R49" s="71"/>
    </row>
    <row r="50" spans="9:12" ht="12.75">
      <c r="I50" s="233" t="str">
        <f>DADOS!A57</f>
        <v>ART/RRT:</v>
      </c>
      <c r="J50" s="316">
        <f>DADOS!B57</f>
        <v>0</v>
      </c>
      <c r="K50" s="316"/>
      <c r="L50" s="316"/>
    </row>
    <row r="51" ht="12.75"/>
    <row r="52" ht="12.75" hidden="1">
      <c r="A52" s="52" t="s">
        <v>28</v>
      </c>
    </row>
    <row r="53" ht="12.75" hidden="1">
      <c r="A53" s="52" t="s">
        <v>34</v>
      </c>
    </row>
    <row r="54" ht="12.75" hidden="1">
      <c r="A54" s="52" t="s">
        <v>37</v>
      </c>
    </row>
    <row r="55" ht="12.75" hidden="1">
      <c r="A55" s="52" t="s">
        <v>47</v>
      </c>
    </row>
    <row r="56" ht="12.75" hidden="1">
      <c r="A56" s="52" t="s">
        <v>54</v>
      </c>
    </row>
    <row r="57" ht="12.75" hidden="1">
      <c r="A57" s="52" t="s">
        <v>137</v>
      </c>
    </row>
    <row r="58" ht="12.75" hidden="1">
      <c r="A58" s="52" t="s">
        <v>138</v>
      </c>
    </row>
    <row r="59" ht="12.75" hidden="1">
      <c r="A59" s="52" t="s">
        <v>59</v>
      </c>
    </row>
    <row r="60" spans="1:7" ht="13.8" hidden="1">
      <c r="A60" s="72"/>
      <c r="B60" s="71"/>
      <c r="C60" s="71"/>
      <c r="D60" s="71"/>
      <c r="E60" s="71"/>
      <c r="F60" s="71"/>
      <c r="G60" s="71"/>
    </row>
  </sheetData>
  <sheetProtection sheet="1" objects="1" scenarios="1"/>
  <mergeCells count="55">
    <mergeCell ref="J49:L49"/>
    <mergeCell ref="J50:L50"/>
    <mergeCell ref="I46:L46"/>
    <mergeCell ref="O46:R46"/>
    <mergeCell ref="J47:L47"/>
    <mergeCell ref="P47:R47"/>
    <mergeCell ref="J48:L48"/>
    <mergeCell ref="P48:R48"/>
    <mergeCell ref="I40:R40"/>
    <mergeCell ref="I42:L42"/>
    <mergeCell ref="O42:R42"/>
    <mergeCell ref="I43:L43"/>
    <mergeCell ref="I45:L45"/>
    <mergeCell ref="O45:R45"/>
    <mergeCell ref="I37:R37"/>
    <mergeCell ref="I25:L25"/>
    <mergeCell ref="I26:L26"/>
    <mergeCell ref="I27:L27"/>
    <mergeCell ref="P27:R27"/>
    <mergeCell ref="J29:R29"/>
    <mergeCell ref="I31:R31"/>
    <mergeCell ref="L32:L33"/>
    <mergeCell ref="M32:O32"/>
    <mergeCell ref="P32:P33"/>
    <mergeCell ref="M33:O33"/>
    <mergeCell ref="I35:R35"/>
    <mergeCell ref="T16:U24"/>
    <mergeCell ref="I18:L18"/>
    <mergeCell ref="I19:L19"/>
    <mergeCell ref="I20:L20"/>
    <mergeCell ref="I21:L21"/>
    <mergeCell ref="I22:L22"/>
    <mergeCell ref="I23:L23"/>
    <mergeCell ref="I24:L24"/>
    <mergeCell ref="I14:P14"/>
    <mergeCell ref="Q14:R14"/>
    <mergeCell ref="I16:L17"/>
    <mergeCell ref="M16:M17"/>
    <mergeCell ref="N16:N17"/>
    <mergeCell ref="O16:O17"/>
    <mergeCell ref="P16:P17"/>
    <mergeCell ref="Q16:Q17"/>
    <mergeCell ref="R16:R17"/>
    <mergeCell ref="I10:P10"/>
    <mergeCell ref="Q10:R10"/>
    <mergeCell ref="I11:P11"/>
    <mergeCell ref="Q11:R11"/>
    <mergeCell ref="I13:P13"/>
    <mergeCell ref="Q13:R13"/>
    <mergeCell ref="I8:R8"/>
    <mergeCell ref="I4:J4"/>
    <mergeCell ref="K4:R4"/>
    <mergeCell ref="I5:J5"/>
    <mergeCell ref="K5:R5"/>
    <mergeCell ref="I7:R7"/>
  </mergeCells>
  <conditionalFormatting sqref="O42">
    <cfRule type="expression" priority="3" dxfId="517" stopIfTrue="1">
      <formula>$O$42=""</formula>
    </cfRule>
  </conditionalFormatting>
  <conditionalFormatting sqref="O18:O27">
    <cfRule type="expression" priority="8" dxfId="522" stopIfTrue="1">
      <formula>AND(O18&lt;&gt;"OK",O18&lt;&gt;"-",O18&lt;&gt;"")</formula>
    </cfRule>
    <cfRule type="cellIs" priority="9" dxfId="521" operator="equal" stopIfTrue="1">
      <formula>"OK"</formula>
    </cfRule>
  </conditionalFormatting>
  <conditionalFormatting sqref="I26:N26">
    <cfRule type="expression" priority="7" dxfId="520" stopIfTrue="1">
      <formula>$Q$11="Não"</formula>
    </cfRule>
  </conditionalFormatting>
  <conditionalFormatting sqref="I27:N27">
    <cfRule type="expression" priority="6" dxfId="519" stopIfTrue="1">
      <formula>$Q$11="sim"</formula>
    </cfRule>
  </conditionalFormatting>
  <conditionalFormatting sqref="P27:R27">
    <cfRule type="expression" priority="5" dxfId="518" stopIfTrue="1">
      <formula>$Q$11="sim"</formula>
    </cfRule>
  </conditionalFormatting>
  <conditionalFormatting sqref="P47:R48">
    <cfRule type="expression" priority="4" dxfId="517" stopIfTrue="1">
      <formula>P47=""</formula>
    </cfRule>
  </conditionalFormatting>
  <conditionalFormatting sqref="I29:R29">
    <cfRule type="expression" priority="2" dxfId="516" stopIfTrue="1">
      <formula>AND(NOT($V$27),NOT($V$29))</formula>
    </cfRule>
  </conditionalFormatting>
  <conditionalFormatting sqref="P18:R26">
    <cfRule type="expression" priority="1" dxfId="515" stopIfTrue="1">
      <formula>$I$11=$A$58</formula>
    </cfRule>
  </conditionalFormatting>
  <dataValidations count="6">
    <dataValidation type="decimal" allowBlank="1" showInputMessage="1" showErrorMessage="1" errorTitle="Erro de valores" error="Digite um valor entre 0% e 100%" sqref="N18:N23">
      <formula1>0</formula1>
      <formula2>1</formula2>
    </dataValidation>
    <dataValidation type="decimal" operator="greaterThanOrEqual" allowBlank="1" showInputMessage="1" showErrorMessage="1" promptTitle="Valores comuns:" prompt="Normalmente entre 2 e 5%." errorTitle="Valor não permitido" error="Digite um percentual entre 0% e 100%." sqref="Q14:R14">
      <formula1>0</formula1>
    </dataValidation>
    <dataValidation type="decimal" allowBlank="1" showInputMessage="1" showErrorMessage="1" promptTitle="Valores admissíveis:" prompt="Insira valores entre 0 e 100%." errorTitle="Valor não permitido" error="Digite um percentual entre 0% e 100%." sqref="Q13:R13">
      <formula1>0</formula1>
      <formula2>1</formula2>
    </dataValidation>
    <dataValidation type="decimal" allowBlank="1" showInputMessage="1" showErrorMessage="1" errorTitle="Erro de valores" error="Digite um valor maior do que 0." sqref="N24">
      <formula1>0</formula1>
      <formula2>1</formula2>
    </dataValidation>
    <dataValidation operator="greaterThanOrEqual" allowBlank="1" showInputMessage="1" showErrorMessage="1" errorTitle="Erro de valores" error="Digite um valor igual a 0% ou 2%." sqref="N25"/>
    <dataValidation type="list" allowBlank="1" showInputMessage="1" showErrorMessage="1" sqref="I11:P11">
      <formula1>$A$52:$A$59</formula1>
    </dataValidation>
  </dataValidations>
  <printOptions/>
  <pageMargins left="0.78740157480315" right="0.78740157480315" top="0.78740157480315" bottom="0.78740157480315" header="0.590551181102362" footer="0.590551181102362"/>
  <pageSetup fitToHeight="1" fitToWidth="1" horizontalDpi="600" verticalDpi="600" orientation="portrait" paperSize="9" scale="78" r:id="rId3"/>
  <headerFooter alignWithMargins="0">
    <oddHeader>&amp;C&amp;14I</oddHeader>
    <oddFooter>&amp;L27.476 v008   micro&amp;R&amp;P</oddFooter>
  </headerFooter>
  <drawing r:id="rId2"/>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1">
    <tabColor rgb="FFFFFF00"/>
    <pageSetUpPr fitToPage="1"/>
  </sheetPr>
  <dimension ref="A1:AA189"/>
  <sheetViews>
    <sheetView showGridLines="0" tabSelected="1" zoomScale="80" zoomScaleNormal="80" zoomScaleSheetLayoutView="100" workbookViewId="0" topLeftCell="J1">
      <pane ySplit="12" topLeftCell="A13" activePane="bottomLeft" state="frozen"/>
      <selection pane="bottomLeft" activeCell="N15" sqref="N15"/>
    </sheetView>
  </sheetViews>
  <sheetFormatPr defaultColWidth="9.140625" defaultRowHeight="12.75"/>
  <cols>
    <col min="1" max="2" width="6.7109375" style="0" hidden="1" customWidth="1"/>
    <col min="3" max="7" width="5.7109375" style="0" hidden="1" customWidth="1"/>
    <col min="8" max="9" width="6.7109375" style="0" hidden="1" customWidth="1"/>
    <col min="10" max="10" width="8.7109375" style="0" customWidth="1"/>
    <col min="11" max="11" width="12.7109375" style="0" customWidth="1"/>
    <col min="12" max="13" width="15.7109375" style="0" customWidth="1"/>
    <col min="14" max="14" width="80.7109375" style="0" customWidth="1"/>
    <col min="15" max="15" width="10.7109375" style="0" customWidth="1"/>
    <col min="16" max="17" width="15.7109375" style="0" customWidth="1"/>
    <col min="18" max="18" width="10.7109375" style="0" customWidth="1"/>
    <col min="19" max="21" width="15.7109375" style="0" customWidth="1"/>
    <col min="22" max="22" width="9.140625" style="0" hidden="1" customWidth="1"/>
    <col min="23" max="23" width="15.7109375" style="0" hidden="1" customWidth="1"/>
    <col min="24" max="24" width="20.7109375" style="0" hidden="1" customWidth="1"/>
    <col min="25" max="25" width="15.7109375" style="0" customWidth="1"/>
  </cols>
  <sheetData>
    <row r="1" spans="1:27" ht="12.9" customHeight="1">
      <c r="A1" s="79"/>
      <c r="B1" s="79"/>
      <c r="D1" s="117"/>
      <c r="E1" s="118"/>
      <c r="F1" s="79"/>
      <c r="G1" s="79"/>
      <c r="H1" s="79"/>
      <c r="I1" s="79"/>
      <c r="J1" s="80"/>
      <c r="K1" s="79"/>
      <c r="L1" s="79"/>
      <c r="M1" s="79"/>
      <c r="N1" s="99" t="s">
        <v>166</v>
      </c>
      <c r="O1" s="79"/>
      <c r="P1" s="81"/>
      <c r="Q1" s="79"/>
      <c r="R1" s="79"/>
      <c r="S1" s="79"/>
      <c r="T1" s="77" t="s">
        <v>164</v>
      </c>
      <c r="U1" s="4"/>
      <c r="V1" s="4"/>
      <c r="W1" s="4"/>
      <c r="X1" s="4"/>
      <c r="Y1" s="4"/>
      <c r="Z1" s="4"/>
      <c r="AA1" s="4"/>
    </row>
    <row r="2" spans="1:27" ht="12.75" customHeight="1">
      <c r="A2" s="4"/>
      <c r="B2" s="20" t="s">
        <v>156</v>
      </c>
      <c r="C2" s="20" t="s">
        <v>99</v>
      </c>
      <c r="D2" s="20" t="s">
        <v>100</v>
      </c>
      <c r="E2" s="20" t="s">
        <v>101</v>
      </c>
      <c r="F2" s="20" t="s">
        <v>102</v>
      </c>
      <c r="G2" s="20" t="s">
        <v>103</v>
      </c>
      <c r="H2" s="4"/>
      <c r="I2" s="4"/>
      <c r="J2" s="4"/>
      <c r="K2" s="4"/>
      <c r="L2" s="4"/>
      <c r="M2" s="4"/>
      <c r="N2" s="102" t="str">
        <f>CHOOSE(1+LOG(1+2*(TipoOrçamento="BASE")+4*(TipoOrçamento="LICITADO")+8*(TipoOrçamento="REPROGRAMADOAC")+16*(TipoOrçamento="REPROGRAMADONPL"),2),"nada","Orçamento Base para Licitação","Orçamento Licitado","Orçamento Licitado Reprogramado","Orçamento Base para Licitação - Reprogramado")</f>
        <v>Orçamento Base para Licitação</v>
      </c>
      <c r="O2" s="4"/>
      <c r="P2" s="4"/>
      <c r="Q2" s="4"/>
      <c r="R2" s="4"/>
      <c r="S2" s="4"/>
      <c r="T2" s="78" t="s">
        <v>165</v>
      </c>
      <c r="U2" s="4"/>
      <c r="V2" s="4"/>
      <c r="W2" s="357" t="s">
        <v>180</v>
      </c>
      <c r="X2" s="357"/>
      <c r="Y2" s="4"/>
      <c r="Z2" s="4"/>
      <c r="AA2" s="4"/>
    </row>
    <row r="3" spans="1:27" ht="12.75" customHeight="1">
      <c r="A3" s="4"/>
      <c r="B3" s="4"/>
      <c r="D3" s="117"/>
      <c r="F3" s="5"/>
      <c r="G3" s="4"/>
      <c r="H3" s="4"/>
      <c r="I3" s="4"/>
      <c r="J3" s="4"/>
      <c r="K3" s="4"/>
      <c r="L3" s="4"/>
      <c r="M3" s="4"/>
      <c r="N3" s="131"/>
      <c r="O3" s="4"/>
      <c r="P3" s="4"/>
      <c r="Q3" s="4"/>
      <c r="R3" s="4"/>
      <c r="S3" s="4"/>
      <c r="T3" s="4"/>
      <c r="U3" s="4"/>
      <c r="V3" s="4"/>
      <c r="W3" s="211" t="s">
        <v>147</v>
      </c>
      <c r="X3" s="214" t="b">
        <v>1</v>
      </c>
      <c r="Y3" s="4"/>
      <c r="Z3" s="4"/>
      <c r="AA3" s="4"/>
    </row>
    <row r="4" spans="1:27" ht="24.9" customHeight="1">
      <c r="A4" s="4" t="s">
        <v>126</v>
      </c>
      <c r="B4" s="4"/>
      <c r="D4" s="117"/>
      <c r="F4" s="5"/>
      <c r="G4" s="4"/>
      <c r="H4" s="4"/>
      <c r="I4" s="4"/>
      <c r="J4" s="4"/>
      <c r="K4" s="4"/>
      <c r="L4" s="4"/>
      <c r="M4" s="4"/>
      <c r="N4" s="4"/>
      <c r="O4" s="4"/>
      <c r="P4" s="4"/>
      <c r="Q4" s="4"/>
      <c r="R4" s="4"/>
      <c r="S4" s="4"/>
      <c r="T4" s="4"/>
      <c r="U4" s="153" t="s">
        <v>187</v>
      </c>
      <c r="W4" s="211" t="s">
        <v>181</v>
      </c>
      <c r="X4" s="214" t="b">
        <v>1</v>
      </c>
      <c r="Y4" s="4"/>
      <c r="Z4" s="4"/>
      <c r="AA4" s="4"/>
    </row>
    <row r="5" spans="1:27" ht="24.9" customHeight="1">
      <c r="A5" s="9">
        <f>MAX($A$12:$A$174)</f>
        <v>2</v>
      </c>
      <c r="B5" s="4"/>
      <c r="D5" s="117"/>
      <c r="F5" s="5"/>
      <c r="G5" s="4"/>
      <c r="H5" s="4"/>
      <c r="I5" s="4"/>
      <c r="J5" s="4"/>
      <c r="K5" s="4"/>
      <c r="L5" s="4"/>
      <c r="M5" s="4"/>
      <c r="N5" s="4"/>
      <c r="O5" s="4"/>
      <c r="P5" s="4"/>
      <c r="Q5" s="4"/>
      <c r="R5" s="4"/>
      <c r="S5" s="4"/>
      <c r="T5" s="4"/>
      <c r="U5" s="119" t="str">
        <f ca="1">IF(COUNTIF($U$12:OFFSET($U$174,-1,0),"DESCRIÇÃO")+COUNTIF($U$12:OFFSET($U$174,-1,0),"UNIDADE")+COUNTIF($U$12:OFFSET($U$174,-1,0),"SEM VALOR")&gt;0,"NÃO OK","OK")</f>
        <v>OK</v>
      </c>
      <c r="V5" s="212" t="s">
        <v>106</v>
      </c>
      <c r="W5" s="211" t="s">
        <v>182</v>
      </c>
      <c r="X5" s="214" t="b">
        <v>1</v>
      </c>
      <c r="Y5" s="4"/>
      <c r="Z5" s="4"/>
      <c r="AA5" s="4"/>
    </row>
    <row r="6" spans="1:27" ht="24.9" customHeight="1">
      <c r="A6" s="4"/>
      <c r="B6" s="4"/>
      <c r="D6" s="117"/>
      <c r="F6" s="5"/>
      <c r="G6" s="4"/>
      <c r="H6" s="4"/>
      <c r="I6" s="4"/>
      <c r="J6" s="4"/>
      <c r="K6" s="82"/>
      <c r="L6" s="4"/>
      <c r="M6" s="4"/>
      <c r="N6" s="4"/>
      <c r="O6" s="4"/>
      <c r="P6" s="4"/>
      <c r="Q6" s="4"/>
      <c r="R6" s="4"/>
      <c r="S6" s="4"/>
      <c r="T6" s="4"/>
      <c r="U6" s="4"/>
      <c r="V6" s="4"/>
      <c r="W6" s="211" t="s">
        <v>183</v>
      </c>
      <c r="X6" s="214" t="b">
        <v>1</v>
      </c>
      <c r="Y6" s="4"/>
      <c r="Z6" s="4"/>
      <c r="AA6" s="4"/>
    </row>
    <row r="7" spans="1:27" ht="24.9" customHeight="1">
      <c r="A7" s="4"/>
      <c r="B7" s="4"/>
      <c r="C7" s="20"/>
      <c r="D7" s="117"/>
      <c r="E7" s="5"/>
      <c r="F7" s="5"/>
      <c r="G7" s="4"/>
      <c r="H7" s="4"/>
      <c r="I7" s="4"/>
      <c r="J7" s="4"/>
      <c r="K7" s="82"/>
      <c r="L7" s="4"/>
      <c r="M7" s="4"/>
      <c r="N7" s="4"/>
      <c r="O7" s="4"/>
      <c r="P7" s="4"/>
      <c r="Q7" s="4"/>
      <c r="R7" s="4"/>
      <c r="S7" s="4"/>
      <c r="T7" s="4"/>
      <c r="U7" s="4"/>
      <c r="V7" s="4"/>
      <c r="W7" s="211" t="s">
        <v>184</v>
      </c>
      <c r="X7" s="214" t="b">
        <v>1</v>
      </c>
      <c r="Y7" s="4"/>
      <c r="Z7" s="4"/>
      <c r="AA7" s="4"/>
    </row>
    <row r="8" spans="1:27" ht="30" customHeight="1">
      <c r="A8" s="4"/>
      <c r="B8" s="4"/>
      <c r="C8" s="20"/>
      <c r="D8" s="20"/>
      <c r="E8" s="5"/>
      <c r="F8" s="5"/>
      <c r="G8" s="4"/>
      <c r="H8" s="4"/>
      <c r="I8" s="4"/>
      <c r="J8" s="4"/>
      <c r="K8" s="4"/>
      <c r="L8" s="4"/>
      <c r="M8" s="4"/>
      <c r="N8" s="4"/>
      <c r="O8" s="4"/>
      <c r="P8" s="4"/>
      <c r="Q8" s="4"/>
      <c r="R8" s="4"/>
      <c r="S8" s="4"/>
      <c r="T8" s="4"/>
      <c r="U8" s="4"/>
      <c r="V8" s="4"/>
      <c r="W8" s="4"/>
      <c r="X8" s="4"/>
      <c r="Y8" s="4"/>
      <c r="Z8" s="4"/>
      <c r="AA8" s="4"/>
    </row>
    <row r="9" spans="1:27" ht="12.75" customHeight="1" hidden="1">
      <c r="A9" s="4"/>
      <c r="B9" s="4"/>
      <c r="C9" s="20"/>
      <c r="D9" s="20"/>
      <c r="E9" s="5"/>
      <c r="F9" s="5"/>
      <c r="G9" s="4"/>
      <c r="H9" s="4"/>
      <c r="I9" s="4"/>
      <c r="J9" s="4"/>
      <c r="K9" s="4"/>
      <c r="L9" s="4"/>
      <c r="M9" s="4"/>
      <c r="N9" s="4"/>
      <c r="O9" s="4"/>
      <c r="P9" s="224" t="str">
        <f ca="1">OFFSET(PLQ!$E$12,ROW($P9)-ROW(P$12),0)</f>
        <v>-</v>
      </c>
      <c r="Q9" s="4"/>
      <c r="R9" s="4"/>
      <c r="S9" s="4"/>
      <c r="T9" s="4"/>
      <c r="U9" s="4"/>
      <c r="V9" s="4"/>
      <c r="W9" s="4"/>
      <c r="X9" s="4"/>
      <c r="Y9" s="4"/>
      <c r="Z9" s="4"/>
      <c r="AA9" s="4"/>
    </row>
    <row r="10" spans="1:27" ht="30" customHeight="1">
      <c r="A10" s="74" t="s">
        <v>3</v>
      </c>
      <c r="B10" s="74" t="s">
        <v>123</v>
      </c>
      <c r="C10" s="74" t="s">
        <v>151</v>
      </c>
      <c r="D10" s="74" t="s">
        <v>152</v>
      </c>
      <c r="E10" s="74" t="s">
        <v>153</v>
      </c>
      <c r="F10" s="74" t="s">
        <v>154</v>
      </c>
      <c r="G10" s="74" t="s">
        <v>155</v>
      </c>
      <c r="H10" s="74" t="s">
        <v>124</v>
      </c>
      <c r="I10" s="74" t="s">
        <v>125</v>
      </c>
      <c r="J10" s="74" t="s">
        <v>3</v>
      </c>
      <c r="K10" s="74" t="s">
        <v>146</v>
      </c>
      <c r="L10" s="74" t="s">
        <v>145</v>
      </c>
      <c r="M10" s="74" t="s">
        <v>4</v>
      </c>
      <c r="N10" s="74" t="s">
        <v>141</v>
      </c>
      <c r="O10" s="75" t="s">
        <v>148</v>
      </c>
      <c r="P10" s="74" t="s">
        <v>147</v>
      </c>
      <c r="Q10" s="74" t="str">
        <f>IF(OR(TipoOrçamento="LICITADO",TipoOrçamento="REPROGRAMADOAC"),"Preço Unitário (R$)","Custo Unitário (R$)")</f>
        <v>Custo Unitário (R$)</v>
      </c>
      <c r="R10" s="74" t="s">
        <v>5</v>
      </c>
      <c r="S10" s="74" t="s">
        <v>150</v>
      </c>
      <c r="T10" s="74" t="s">
        <v>6</v>
      </c>
      <c r="U10" s="74" t="s">
        <v>158</v>
      </c>
      <c r="V10" s="116" t="s">
        <v>160</v>
      </c>
      <c r="W10" s="116" t="s">
        <v>122</v>
      </c>
      <c r="X10" s="116" t="s">
        <v>130</v>
      </c>
      <c r="Y10" s="115" t="str">
        <f>IF(TipoOrçamento="LICITADO","Preço Unitário Edital (R$)","Custo Unitário Referência (R$)")</f>
        <v>Custo Unitário Referência (R$)</v>
      </c>
      <c r="Z10" s="147" t="str">
        <f>IF(TipoOrçamento="LICITADO","Valor BDI Edital","Valor BDI")</f>
        <v>Valor BDI</v>
      </c>
      <c r="AA10" s="4"/>
    </row>
    <row r="11" spans="1:27" ht="12.75" hidden="1">
      <c r="A11" t="str">
        <f>CHOOSE(1+LOG(1+2*(J11="Meta")+4*(J11="Nível 2")+8*(J11="Nível 3")+16*(J11="Nível 4")+32*(J11="Serviço"),2),0,1,2,3,4,"S")</f>
        <v>S</v>
      </c>
      <c r="B11">
        <f>IF(OR(A11="S",A11=0),0,IF(ISERROR(I11),H11,SMALL(H11:I11,1)))</f>
        <v>0</v>
      </c>
      <c r="C11" t="str">
        <f ca="1">IF($A11=1,OFFSET(C11,-1,0)+1,OFFSET(C11,-1,0))</f>
        <v>n1</v>
      </c>
      <c r="D11" t="str">
        <f ca="1">IF($A11=1,0,IF($A11=2,OFFSET(D11,-1,0)+1,OFFSET(D11,-1,0)))</f>
        <v>n2</v>
      </c>
      <c r="E11" t="str">
        <f ca="1">IF(AND($A11&lt;=2,$A11&lt;&gt;0),0,IF($A11=3,OFFSET(E11,-1,0)+1,OFFSET(E11,-1,0)))</f>
        <v>n3</v>
      </c>
      <c r="F11" t="str">
        <f ca="1">IF(AND($A11&lt;=3,$A11&lt;&gt;0),0,IF($A11=4,OFFSET(F11,-1,0)+1,OFFSET(F11,-1,0)))</f>
        <v>n4</v>
      </c>
      <c r="G11" t="e">
        <f ca="1">IF(AND($A11&lt;=4,$A11&lt;&gt;0),0,IF($A11="S",OFFSET(G11,-1,0)+1,OFFSET(G11,-1,0)))</f>
        <v>#VALUE!</v>
      </c>
      <c r="H11">
        <f ca="1">IF(OR($A11="S",$A11=0),0,MATCH(0,OFFSET($B11,1,$A11,ROW($A$174)-ROW($A11)),0))</f>
        <v>0</v>
      </c>
      <c r="I11">
        <f ca="1">IF(OR($A11="S",$A11=0),0,MATCH(OFFSET($B11,0,$A11)+1,OFFSET($B11,1,$A11,ROW($A$174)-ROW($A11)),0))</f>
        <v>0</v>
      </c>
      <c r="J11" s="120" t="s">
        <v>103</v>
      </c>
      <c r="K11" s="162" t="e">
        <f ca="1">IF($A11=0,"-",CONCATENATE(C11&amp;".",IF(AND($A$5&gt;=2,$A11&gt;=2),D11&amp;".",""),IF(AND($A$5&gt;=3,$A11&gt;=3),E11&amp;".",""),IF(AND($A$5&gt;=4,$A11&gt;=4),F11&amp;".",""),IF($A11="S",G11&amp;".","")))</f>
        <v>#VALUE!</v>
      </c>
      <c r="L11" s="209"/>
      <c r="M11" s="209"/>
      <c r="N11" s="230" t="str">
        <f ca="1">IF($A11="S",Referencia.Descricao,"(digite a descrição aqui)")</f>
        <v/>
      </c>
      <c r="O11" s="229" t="str">
        <f ca="1">Referencia.Unidade</f>
        <v/>
      </c>
      <c r="P11" s="232">
        <f ca="1">OFFSET(PLQ!$E$12,ROW($P11)-ROW(P$12),0)</f>
        <v>0</v>
      </c>
      <c r="Q11" s="228"/>
      <c r="R11" s="231" t="s">
        <v>7</v>
      </c>
      <c r="S11" s="121">
        <f ca="1">IF($A11="S",IF($Q$10="Preço Unitário (R$)",PO.CustoUnitario,ROUND(PO.CustoUnitario*(1+$Z11),15-13*$X$6)),0)</f>
        <v>0</v>
      </c>
      <c r="T11" s="98">
        <f ca="1">IF($A11="S",VTOTAL1,IF($A11=0,0,ROUND(SomaAgrup,15-13*$X$7)))</f>
        <v>0</v>
      </c>
      <c r="U11" s="13" t="str">
        <f ca="1">IF($J11="","",IF($N11="","DESCRIÇÃO",IF(AND($J11="Serviço",$O11=""),"UNIDADE",IF($T11&lt;=0,"SEM VALOR",IF(AND($Y11&lt;&gt;"",$Q11&gt;$Y11),"ACIMA REF.","")))))</f>
        <v>DESCRIÇÃO</v>
      </c>
      <c r="V11" s="4" t="str">
        <f ca="1">IF(OR($A11=0,$A11="S",$A11&gt;CFF!$A$9),"",MAX(V$12:OFFSET(V11,-1,0))+1)</f>
        <v/>
      </c>
      <c r="W11" s="9" t="b">
        <f>IF(AND($J11="Serviço",$M11&lt;&gt;""),IF($L11="",$M11,CONCATENATE($L11,"-",$M11)))</f>
        <v>0</v>
      </c>
      <c r="X11" s="4" t="str">
        <f ca="1">IF(AND(Fonte&lt;&gt;"",Código&lt;&gt;""),MATCH(Fonte&amp;" "&amp;IF(Fonte="sinapi",SUBSTITUTE(SUBSTITUTE(Código,"/00","/"),"/0","/"),Código),INDIRECT("'[Referência "&amp;_XLNM.DATABASE&amp;".xls]Banco'!$a:$a"),0),"X")</f>
        <v>X</v>
      </c>
      <c r="Y11" s="121">
        <f ca="1">IF(Import.Desoneracao="sim",Referencia.Desonerado,Referencia.NaoDesonerado)</f>
        <v>0</v>
      </c>
      <c r="Z11" s="132">
        <f ca="1">ROUND(IF(ISNUMBER(R11),R11,IF(LEFT(R11,3)="BDI",HLOOKUP(R11,DADOS!$T$37:$X$38,2,FALSE),0)),15-11*$X$5)</f>
        <v>0.206</v>
      </c>
      <c r="AA11" s="4"/>
    </row>
    <row r="12" spans="1:27" ht="12.75">
      <c r="A12">
        <v>0</v>
      </c>
      <c r="B12">
        <f ca="1">COUNTA(OFFSET(B12,1,0):B$174)</f>
        <v>161</v>
      </c>
      <c r="J12" s="76" t="str">
        <f>IF(OR(TipoOrçamento="LICITADO",TipoOrçamento="REPROGRAMADOAC"),"CTEF","LOTE")</f>
        <v>LOTE</v>
      </c>
      <c r="K12" s="163">
        <v>0</v>
      </c>
      <c r="L12" s="10"/>
      <c r="M12" s="10"/>
      <c r="N12" s="87" t="str">
        <f>IF(TipoOrçamento="LICITADO",DADOS!O43,DADOS!G38)</f>
        <v xml:space="preserve">Áreas do Município </v>
      </c>
      <c r="O12" s="10"/>
      <c r="P12" s="11"/>
      <c r="Q12" s="11"/>
      <c r="R12" s="12"/>
      <c r="S12" s="11"/>
      <c r="T12" s="97">
        <f ca="1">SUMIF(OFFSET($J12,1,0,ROW(T174)-ROW(T12)-1),"Serviço",OFFSET(T12,1,0,ROW(T174)-ROW(T12)-1))</f>
        <v>3381908.6399999997</v>
      </c>
      <c r="U12" s="13" t="str">
        <f>IF($N12=0,"DESCRIÇÃO","")</f>
        <v/>
      </c>
      <c r="V12" s="4">
        <v>0</v>
      </c>
      <c r="W12" s="4"/>
      <c r="X12" s="4"/>
      <c r="Y12" s="11"/>
      <c r="Z12" s="133"/>
      <c r="AA12" s="4"/>
    </row>
    <row r="13" spans="1:27" ht="12.75">
      <c r="A13">
        <f aca="true" t="shared" si="0" ref="A13:A38">CHOOSE(1+LOG(1+2*(J13="Meta")+4*(J13="Nível 2")+8*(J13="Nível 3")+16*(J13="Nível 4")+32*(J13="Serviço"),2),0,1,2,3,4,"S")</f>
        <v>1</v>
      </c>
      <c r="B13">
        <f aca="true" t="shared" si="1" ref="B13:B38">IF(OR(A13="S",A13=0),0,IF(ISERROR(I13),H13,SMALL(H13:I13,1)))</f>
        <v>161</v>
      </c>
      <c r="C13">
        <f aca="true" ca="1" t="shared" si="2" ref="C13:C38">IF($A13=1,OFFSET(C13,-1,0)+1,OFFSET(C13,-1,0))</f>
        <v>1</v>
      </c>
      <c r="D13">
        <f aca="true" ca="1" t="shared" si="3" ref="D13:D38">IF($A13=1,0,IF($A13=2,OFFSET(D13,-1,0)+1,OFFSET(D13,-1,0)))</f>
        <v>0</v>
      </c>
      <c r="E13">
        <f aca="true" ca="1" t="shared" si="4" ref="E13:E38">IF(AND($A13&lt;=2,$A13&lt;&gt;0),0,IF($A13=3,OFFSET(E13,-1,0)+1,OFFSET(E13,-1,0)))</f>
        <v>0</v>
      </c>
      <c r="F13">
        <f aca="true" ca="1" t="shared" si="5" ref="F13:F38">IF(AND($A13&lt;=3,$A13&lt;&gt;0),0,IF($A13=4,OFFSET(F13,-1,0)+1,OFFSET(F13,-1,0)))</f>
        <v>0</v>
      </c>
      <c r="G13">
        <f aca="true" ca="1" t="shared" si="6" ref="G13:G38">IF(AND($A13&lt;=4,$A13&lt;&gt;0),0,IF($A13="S",OFFSET(G13,-1,0)+1,OFFSET(G13,-1,0)))</f>
        <v>0</v>
      </c>
      <c r="H13">
        <f aca="true" ca="1" t="shared" si="7" ref="H13:H43">IF(OR($A13="S",$A13=0),0,MATCH(0,OFFSET($B13,1,$A13,ROW($A$174)-ROW($A13)),0))</f>
        <v>161</v>
      </c>
      <c r="I13" t="e">
        <f aca="true" ca="1" t="shared" si="8" ref="I13:I43">IF(OR($A13="S",$A13=0),0,MATCH(OFFSET($B13,0,$A13)+1,OFFSET($B13,1,$A13,ROW($A$174)-ROW($A13)),0))</f>
        <v>#N/A</v>
      </c>
      <c r="J13" s="164" t="s">
        <v>99</v>
      </c>
      <c r="K13" s="162" t="str">
        <f aca="true" t="shared" si="9" ref="K13:K38">IF($A13=0,"-",CONCATENATE(C13&amp;".",IF(AND($A$5&gt;=2,$A13&gt;=2),D13&amp;".",""),IF(AND($A$5&gt;=3,$A13&gt;=3),E13&amp;".",""),IF(AND($A$5&gt;=4,$A13&gt;=4),F13&amp;".",""),IF($A13="S",G13&amp;".","")))</f>
        <v>1.</v>
      </c>
      <c r="L13" s="209"/>
      <c r="M13" s="209"/>
      <c r="N13" s="230" t="s">
        <v>252</v>
      </c>
      <c r="O13" s="229" t="s">
        <v>106</v>
      </c>
      <c r="P13" s="232">
        <f ca="1">OFFSET(PLQ!$E$12,ROW($P13)-ROW(P$12),0)</f>
        <v>0</v>
      </c>
      <c r="Q13" s="228"/>
      <c r="R13" s="231" t="s">
        <v>7</v>
      </c>
      <c r="S13" s="121">
        <f aca="true" t="shared" si="10" ref="S13:S38">IF($A13="S",IF($Q$10="Preço Unitário (R$)",PO.CustoUnitario,ROUND(PO.CustoUnitario*(1+$Z13),15-13*$X$6)),0)</f>
        <v>0</v>
      </c>
      <c r="T13" s="98">
        <f aca="true" ca="1" t="shared" si="11" ref="T13:T38">IF($A13="S",VTOTAL1,IF($A13=0,0,ROUND(SomaAgrup,15-13*$X$7)))</f>
        <v>3381908.64</v>
      </c>
      <c r="U13" s="13" t="str">
        <f aca="true" t="shared" si="12" ref="U13:U38">IF($J13="","",IF($N13="","DESCRIÇÃO",IF(AND($J13="Serviço",$O13=""),"UNIDADE",IF($T13&lt;=0,"SEM VALOR",IF(AND($Y13&lt;&gt;"",$Q13&gt;$Y13),"ACIMA REF.","")))))</f>
        <v/>
      </c>
      <c r="V13" s="4">
        <f ca="1">IF(OR($A13=0,$A13="S",$A13&gt;CFF!$A$9),"",MAX(V$12:OFFSET(V13,-1,0))+1)</f>
        <v>1</v>
      </c>
      <c r="W13" s="9" t="b">
        <f aca="true" t="shared" si="13" ref="W13:W38">IF(AND($J13="Serviço",$M13&lt;&gt;""),IF($L13="",$M13,CONCATENATE($L13,"-",$M13)))</f>
        <v>0</v>
      </c>
      <c r="X13" s="4" t="str">
        <f aca="true" t="shared" si="14" ref="X13:X38">IF(AND(Fonte&lt;&gt;"",Código&lt;&gt;""),MATCH(Fonte&amp;" "&amp;IF(Fonte="sinapi",SUBSTITUTE(SUBSTITUTE(Código,"/00","/"),"/0","/"),Código),INDIRECT("'[Referência "&amp;_XLNM.DATABASE&amp;".xls]Banco'!$a:$a"),0),"X")</f>
        <v>X</v>
      </c>
      <c r="Y13" s="121">
        <f aca="true" t="shared" si="15" ref="Y13:Y38">IF(Import.Desoneracao="sim",Referencia.Desonerado,Referencia.NaoDesonerado)</f>
        <v>0</v>
      </c>
      <c r="Z13" s="132">
        <f ca="1">ROUND(IF(ISNUMBER(R13),R13,IF(LEFT(R13,3)="BDI",HLOOKUP(R13,DADOS!$T$37:$X$38,2,FALSE),0)),15-11*$X$5)</f>
        <v>0.206</v>
      </c>
      <c r="AA13" s="4"/>
    </row>
    <row r="14" spans="1:27" ht="12.75">
      <c r="A14">
        <f t="shared" si="0"/>
        <v>2</v>
      </c>
      <c r="B14">
        <f ca="1" t="shared" si="1"/>
        <v>6</v>
      </c>
      <c r="C14">
        <f ca="1" t="shared" si="2"/>
        <v>1</v>
      </c>
      <c r="D14">
        <f ca="1" t="shared" si="3"/>
        <v>1</v>
      </c>
      <c r="E14">
        <f ca="1" t="shared" si="4"/>
        <v>0</v>
      </c>
      <c r="F14">
        <f ca="1" t="shared" si="5"/>
        <v>0</v>
      </c>
      <c r="G14">
        <f ca="1" t="shared" si="6"/>
        <v>0</v>
      </c>
      <c r="H14">
        <f ca="1" t="shared" si="7"/>
        <v>160</v>
      </c>
      <c r="I14">
        <f ca="1" t="shared" si="8"/>
        <v>6</v>
      </c>
      <c r="J14" s="120" t="s">
        <v>100</v>
      </c>
      <c r="K14" s="162" t="str">
        <f ca="1" t="shared" si="9"/>
        <v>1.1.</v>
      </c>
      <c r="L14" s="209"/>
      <c r="M14" s="209"/>
      <c r="N14" s="230" t="s">
        <v>262</v>
      </c>
      <c r="O14" s="229" t="str">
        <f ca="1">Referencia.Unidade</f>
        <v/>
      </c>
      <c r="P14" s="232">
        <f ca="1">OFFSET(PLQ!$E$12,ROW($P14)-ROW(P$12),0)</f>
        <v>0</v>
      </c>
      <c r="Q14" s="228"/>
      <c r="R14" s="231" t="s">
        <v>7</v>
      </c>
      <c r="S14" s="121">
        <f t="shared" si="10"/>
        <v>0</v>
      </c>
      <c r="T14" s="98">
        <f ca="1" t="shared" si="11"/>
        <v>124514.96</v>
      </c>
      <c r="U14" s="13" t="str">
        <f ca="1" t="shared" si="12"/>
        <v/>
      </c>
      <c r="V14" s="4">
        <f ca="1">IF(OR($A14=0,$A14="S",$A14&gt;CFF!$A$9),"",MAX(V$12:OFFSET(V14,-1,0))+1)</f>
        <v>2</v>
      </c>
      <c r="W14" s="9" t="b">
        <f t="shared" si="13"/>
        <v>0</v>
      </c>
      <c r="X14" s="4" t="str">
        <f ca="1" t="shared" si="14"/>
        <v>X</v>
      </c>
      <c r="Y14" s="121">
        <f ca="1" t="shared" si="15"/>
        <v>0</v>
      </c>
      <c r="Z14" s="132">
        <f ca="1">ROUND(IF(ISNUMBER(R14),R14,IF(LEFT(R14,3)="BDI",HLOOKUP(R14,DADOS!$T$37:$X$38,2,FALSE),0)),15-11*$X$5)</f>
        <v>0.206</v>
      </c>
      <c r="AA14" s="4"/>
    </row>
    <row r="15" spans="1:27" ht="12.75">
      <c r="A15" t="str">
        <f aca="true" t="shared" si="16" ref="A15:A19">CHOOSE(1+LOG(1+2*(J15="Meta")+4*(J15="Nível 2")+8*(J15="Nível 3")+16*(J15="Nível 4")+32*(J15="Serviço"),2),0,1,2,3,4,"S")</f>
        <v>S</v>
      </c>
      <c r="B15">
        <f aca="true" t="shared" si="17" ref="B15:B19">IF(OR(A15="S",A15=0),0,IF(ISERROR(I15),H15,SMALL(H15:I15,1)))</f>
        <v>0</v>
      </c>
      <c r="C15">
        <f aca="true" ca="1" t="shared" si="18" ref="C15:C19">IF($A15=1,OFFSET(C15,-1,0)+1,OFFSET(C15,-1,0))</f>
        <v>1</v>
      </c>
      <c r="D15">
        <f aca="true" ca="1" t="shared" si="19" ref="D15:D19">IF($A15=1,0,IF($A15=2,OFFSET(D15,-1,0)+1,OFFSET(D15,-1,0)))</f>
        <v>1</v>
      </c>
      <c r="E15">
        <f aca="true" ca="1" t="shared" si="20" ref="E15:E19">IF(AND($A15&lt;=2,$A15&lt;&gt;0),0,IF($A15=3,OFFSET(E15,-1,0)+1,OFFSET(E15,-1,0)))</f>
        <v>0</v>
      </c>
      <c r="F15">
        <f aca="true" ca="1" t="shared" si="21" ref="F15:F19">IF(AND($A15&lt;=3,$A15&lt;&gt;0),0,IF($A15=4,OFFSET(F15,-1,0)+1,OFFSET(F15,-1,0)))</f>
        <v>0</v>
      </c>
      <c r="G15">
        <f aca="true" ca="1" t="shared" si="22" ref="G15:G19">IF(AND($A15&lt;=4,$A15&lt;&gt;0),0,IF($A15="S",OFFSET(G15,-1,0)+1,OFFSET(G15,-1,0)))</f>
        <v>1</v>
      </c>
      <c r="H15">
        <f ca="1" t="shared" si="7"/>
        <v>0</v>
      </c>
      <c r="I15">
        <f ca="1" t="shared" si="8"/>
        <v>0</v>
      </c>
      <c r="J15" s="120" t="s">
        <v>103</v>
      </c>
      <c r="K15" s="162" t="str">
        <f aca="true" t="shared" si="23" ref="K15:K19">IF($A15=0,"-",CONCATENATE(C15&amp;".",IF(AND($A$5&gt;=2,$A15&gt;=2),D15&amp;".",""),IF(AND($A$5&gt;=3,$A15&gt;=3),E15&amp;".",""),IF(AND($A$5&gt;=4,$A15&gt;=4),F15&amp;".",""),IF($A15="S",G15&amp;".","")))</f>
        <v>1.1.1.</v>
      </c>
      <c r="L15" s="209" t="s">
        <v>240</v>
      </c>
      <c r="M15" s="209" t="s">
        <v>232</v>
      </c>
      <c r="N15" s="230" t="str">
        <f ca="1">IF($A15="S",Referencia.Descricao,"(digite a descrição aqui)")</f>
        <v>Placa de Obra em Chapa Galvanizada 2,0x1,5m</v>
      </c>
      <c r="O15" s="229" t="str">
        <f ca="1">Referencia.Unidade</f>
        <v>UNIDADE</v>
      </c>
      <c r="P15" s="232">
        <f ca="1">OFFSET(PLQ!$E$12,ROW($P15)-ROW(P$12),0)</f>
        <v>1</v>
      </c>
      <c r="Q15" s="228">
        <v>796.08</v>
      </c>
      <c r="R15" s="231" t="s">
        <v>7</v>
      </c>
      <c r="S15" s="121">
        <f aca="true" t="shared" si="24" ref="S15:S19">IF($A15="S",IF($Q$10="Preço Unitário (R$)",PO.CustoUnitario,ROUND(PO.CustoUnitario*(1+$Z15),15-13*$X$6)),0)</f>
        <v>960.07</v>
      </c>
      <c r="T15" s="98">
        <f aca="true" ca="1" t="shared" si="25" ref="T15:T19">IF($A15="S",VTOTAL1,IF($A15=0,0,ROUND(SomaAgrup,15-13*$X$7)))</f>
        <v>960.07</v>
      </c>
      <c r="U15" s="13" t="str">
        <f aca="true" t="shared" si="26" ref="U15:U19">IF($J15="","",IF($N15="","DESCRIÇÃO",IF(AND($J15="Serviço",$O15=""),"UNIDADE",IF($T15&lt;=0,"SEM VALOR",IF(AND($Y15&lt;&gt;"",$Q15&gt;$Y15),"ACIMA REF.","")))))</f>
        <v/>
      </c>
      <c r="V15" s="4" t="str">
        <f ca="1">IF(OR($A15=0,$A15="S",$A15&gt;CFF!$A$9),"",MAX(V$12:OFFSET(V15,-1,0))+1)</f>
        <v/>
      </c>
      <c r="W15" s="9" t="str">
        <f aca="true" t="shared" si="27" ref="W15:W19">IF(AND($J15="Serviço",$M15&lt;&gt;""),IF($L15="",$M15,CONCATENATE($L15,"-",$M15)))</f>
        <v>COMPOSIÇÃO-01</v>
      </c>
      <c r="X15" s="4">
        <f aca="true" t="shared" si="28" ref="X15:X19">IF(AND(Fonte&lt;&gt;"",Código&lt;&gt;""),MATCH(Fonte&amp;" "&amp;IF(Fonte="sinapi",SUBSTITUTE(SUBSTITUTE(Código,"/00","/"),"/0","/"),Código),INDIRECT("'[Referência "&amp;_XLNM.DATABASE&amp;".xls]Banco'!$a:$a"),0),"X")</f>
        <v>7</v>
      </c>
      <c r="Y15" s="121">
        <f ca="1">IF(Import.Desoneracao="sim",Referencia.Desonerado,Referencia.NaoDesonerado)</f>
        <v>796.08</v>
      </c>
      <c r="Z15" s="132">
        <f ca="1">ROUND(IF(ISNUMBER(R15),R15,IF(LEFT(R15,3)="BDI",HLOOKUP(R15,DADOS!$T$37:$X$38,2,FALSE),0)),15-11*$X$5)</f>
        <v>0.206</v>
      </c>
      <c r="AA15" s="4"/>
    </row>
    <row r="16" spans="1:27" ht="26.4">
      <c r="A16" t="str">
        <f t="shared" si="16"/>
        <v>S</v>
      </c>
      <c r="B16">
        <f t="shared" si="17"/>
        <v>0</v>
      </c>
      <c r="C16">
        <f ca="1" t="shared" si="18"/>
        <v>1</v>
      </c>
      <c r="D16">
        <f ca="1" t="shared" si="19"/>
        <v>1</v>
      </c>
      <c r="E16">
        <f ca="1" t="shared" si="20"/>
        <v>0</v>
      </c>
      <c r="F16">
        <f ca="1" t="shared" si="21"/>
        <v>0</v>
      </c>
      <c r="G16">
        <f ca="1" t="shared" si="22"/>
        <v>2</v>
      </c>
      <c r="H16">
        <f ca="1" t="shared" si="7"/>
        <v>0</v>
      </c>
      <c r="I16">
        <f ca="1" t="shared" si="8"/>
        <v>0</v>
      </c>
      <c r="J16" s="120" t="s">
        <v>103</v>
      </c>
      <c r="K16" s="162" t="str">
        <f ca="1" t="shared" si="23"/>
        <v>1.1.2.</v>
      </c>
      <c r="L16" s="209" t="s">
        <v>228</v>
      </c>
      <c r="M16" s="209" t="s">
        <v>365</v>
      </c>
      <c r="N16" s="230" t="str">
        <f ca="1">IF($A16="S",Referencia.Descricao,"(digite a descrição aqui)")</f>
        <v>LOCACAO CONVENCIONAL DE OBRA, UTILIZANDO GABARITO DE TÁBUAS CORRIDAS PONTALETADAS A CADA 2,00M -  2 UTILIZAÇÕES. AF_10/2018</v>
      </c>
      <c r="O16" s="229" t="str">
        <f ca="1">Referencia.Unidade</f>
        <v>M</v>
      </c>
      <c r="P16" s="232">
        <f ca="1">OFFSET(PLQ!$E$12,ROW($P16)-ROW(P$12),0)</f>
        <v>650</v>
      </c>
      <c r="Q16" s="228">
        <v>48.66</v>
      </c>
      <c r="R16" s="231" t="s">
        <v>7</v>
      </c>
      <c r="S16" s="121">
        <f ca="1" t="shared" si="24"/>
        <v>58.68</v>
      </c>
      <c r="T16" s="98">
        <f ca="1" t="shared" si="25"/>
        <v>38142</v>
      </c>
      <c r="U16" s="13" t="str">
        <f ca="1" t="shared" si="26"/>
        <v/>
      </c>
      <c r="V16" s="4" t="str">
        <f ca="1">IF(OR($A16=0,$A16="S",$A16&gt;CFF!$A$9),"",MAX(V$12:OFFSET(V16,-1,0))+1)</f>
        <v/>
      </c>
      <c r="W16" s="9" t="str">
        <f t="shared" si="27"/>
        <v>Sinapi-99059</v>
      </c>
      <c r="X16" s="4">
        <f ca="1" t="shared" si="28"/>
        <v>6866</v>
      </c>
      <c r="Y16" s="121">
        <f ca="1">IF(Import.Desoneracao="sim",Referencia.Desonerado,Referencia.NaoDesonerado)</f>
        <v>48.66</v>
      </c>
      <c r="Z16" s="132">
        <f ca="1">ROUND(IF(ISNUMBER(R16),R16,IF(LEFT(R16,3)="BDI",HLOOKUP(R16,DADOS!$T$37:$X$38,2,FALSE),0)),15-11*$X$5)</f>
        <v>0.206</v>
      </c>
      <c r="AA16" s="4"/>
    </row>
    <row r="17" spans="1:27" ht="52.8">
      <c r="A17" t="str">
        <f t="shared" si="16"/>
        <v>S</v>
      </c>
      <c r="B17">
        <f t="shared" si="17"/>
        <v>0</v>
      </c>
      <c r="C17">
        <f ca="1" t="shared" si="18"/>
        <v>1</v>
      </c>
      <c r="D17">
        <f ca="1" t="shared" si="19"/>
        <v>1</v>
      </c>
      <c r="E17">
        <f ca="1" t="shared" si="20"/>
        <v>0</v>
      </c>
      <c r="F17">
        <f ca="1" t="shared" si="21"/>
        <v>0</v>
      </c>
      <c r="G17">
        <f ca="1" t="shared" si="22"/>
        <v>3</v>
      </c>
      <c r="H17">
        <f ca="1" t="shared" si="7"/>
        <v>0</v>
      </c>
      <c r="I17">
        <f ca="1" t="shared" si="8"/>
        <v>0</v>
      </c>
      <c r="J17" s="120" t="s">
        <v>103</v>
      </c>
      <c r="K17" s="162" t="str">
        <f ca="1" t="shared" si="23"/>
        <v>1.1.3.</v>
      </c>
      <c r="L17" s="209" t="s">
        <v>228</v>
      </c>
      <c r="M17" s="209" t="s">
        <v>366</v>
      </c>
      <c r="N17" s="230" t="str">
        <f ca="1">IF($A17="S",Referencia.Descricao,"(digite a descrição aqui)")</f>
        <v>ESCAVAÇÃO VERTICAL PARA  EDIFICAÇÃO, COM CARGA, DESCARGA E TRANSPORTE DE SOLO DE 1ª CATEGORIA, COM ESCAVADEIRA HIDRÁULICA (CAÇAMBA: 1,2 M³ / 155 HP), FROTA DE 6 CAMINHÕES BASCULANTES DE 18 M³, DMT DE 4 KM E VELOCIDADE MÉDIA 22 KM/H. AF_05/2020</v>
      </c>
      <c r="O17" s="229" t="str">
        <f ca="1">Referencia.Unidade</f>
        <v>M3</v>
      </c>
      <c r="P17" s="232">
        <f ca="1">OFFSET(PLQ!$E$12,ROW($P17)-ROW(P$12),0)</f>
        <v>2890</v>
      </c>
      <c r="Q17" s="228">
        <v>20.08</v>
      </c>
      <c r="R17" s="231" t="s">
        <v>7</v>
      </c>
      <c r="S17" s="121">
        <f ca="1" t="shared" si="24"/>
        <v>24.22</v>
      </c>
      <c r="T17" s="98">
        <f ca="1" t="shared" si="25"/>
        <v>69995.8</v>
      </c>
      <c r="U17" s="13" t="str">
        <f ca="1" t="shared" si="26"/>
        <v/>
      </c>
      <c r="V17" s="4" t="str">
        <f ca="1">IF(OR($A17=0,$A17="S",$A17&gt;CFF!$A$9),"",MAX(V$12:OFFSET(V17,-1,0))+1)</f>
        <v/>
      </c>
      <c r="W17" s="9" t="str">
        <f t="shared" si="27"/>
        <v>Sinapi-101228</v>
      </c>
      <c r="X17" s="4">
        <f ca="1" t="shared" si="28"/>
        <v>5546</v>
      </c>
      <c r="Y17" s="121">
        <f ca="1">IF(Import.Desoneracao="sim",Referencia.Desonerado,Referencia.NaoDesonerado)</f>
        <v>20.08</v>
      </c>
      <c r="Z17" s="132">
        <f ca="1">ROUND(IF(ISNUMBER(R17),R17,IF(LEFT(R17,3)="BDI",HLOOKUP(R17,DADOS!$T$37:$X$38,2,FALSE),0)),15-11*$X$5)</f>
        <v>0.206</v>
      </c>
      <c r="AA17" s="4"/>
    </row>
    <row r="18" spans="1:27" ht="12.75">
      <c r="A18" t="str">
        <f t="shared" si="16"/>
        <v>S</v>
      </c>
      <c r="B18">
        <f t="shared" si="17"/>
        <v>0</v>
      </c>
      <c r="C18">
        <f ca="1" t="shared" si="18"/>
        <v>1</v>
      </c>
      <c r="D18">
        <f ca="1" t="shared" si="19"/>
        <v>1</v>
      </c>
      <c r="E18">
        <f ca="1" t="shared" si="20"/>
        <v>0</v>
      </c>
      <c r="F18">
        <f ca="1" t="shared" si="21"/>
        <v>0</v>
      </c>
      <c r="G18">
        <f ca="1" t="shared" si="22"/>
        <v>4</v>
      </c>
      <c r="H18">
        <f ca="1" t="shared" si="7"/>
        <v>0</v>
      </c>
      <c r="I18">
        <f ca="1" t="shared" si="8"/>
        <v>0</v>
      </c>
      <c r="J18" s="120" t="s">
        <v>103</v>
      </c>
      <c r="K18" s="162" t="str">
        <f ca="1" t="shared" si="23"/>
        <v>1.1.4.</v>
      </c>
      <c r="L18" s="209" t="s">
        <v>406</v>
      </c>
      <c r="M18" s="209" t="s">
        <v>407</v>
      </c>
      <c r="N18" s="230" t="s">
        <v>408</v>
      </c>
      <c r="O18" s="229" t="s">
        <v>409</v>
      </c>
      <c r="P18" s="232">
        <f ca="1">OFFSET(PLQ!$E$12,ROW($P18)-ROW(P$12),0)</f>
        <v>1105</v>
      </c>
      <c r="Q18" s="228">
        <v>11.12</v>
      </c>
      <c r="R18" s="231" t="s">
        <v>7</v>
      </c>
      <c r="S18" s="121">
        <f ca="1" t="shared" si="24"/>
        <v>13.41</v>
      </c>
      <c r="T18" s="98">
        <f ca="1" t="shared" si="25"/>
        <v>14818.05</v>
      </c>
      <c r="U18" s="13" t="str">
        <f ca="1" t="shared" si="26"/>
        <v>ACIMA REF.</v>
      </c>
      <c r="V18" s="4" t="str">
        <f ca="1">IF(OR($A18=0,$A18="S",$A18&gt;CFF!$A$9),"",MAX(V$12:OFFSET(V18,-1,0))+1)</f>
        <v/>
      </c>
      <c r="W18" s="9" t="str">
        <f t="shared" si="27"/>
        <v>Sicro-4915734</v>
      </c>
      <c r="X18" s="4" t="e">
        <f ca="1" t="shared" si="28"/>
        <v>#N/A</v>
      </c>
      <c r="Y18" s="121">
        <f ca="1">IF(Import.Desoneracao="sim",Referencia.Desonerado,Referencia.NaoDesonerado)</f>
        <v>0</v>
      </c>
      <c r="Z18" s="132">
        <f ca="1">ROUND(IF(ISNUMBER(R18),R18,IF(LEFT(R18,3)="BDI",HLOOKUP(R18,DADOS!$T$37:$X$38,2,FALSE),0)),15-11*$X$5)</f>
        <v>0.206</v>
      </c>
      <c r="AA18" s="4"/>
    </row>
    <row r="19" spans="1:27" ht="12.75">
      <c r="A19" t="str">
        <f t="shared" si="16"/>
        <v>S</v>
      </c>
      <c r="B19">
        <f t="shared" si="17"/>
        <v>0</v>
      </c>
      <c r="C19">
        <f ca="1" t="shared" si="18"/>
        <v>1</v>
      </c>
      <c r="D19">
        <f ca="1" t="shared" si="19"/>
        <v>1</v>
      </c>
      <c r="E19">
        <f ca="1" t="shared" si="20"/>
        <v>0</v>
      </c>
      <c r="F19">
        <f ca="1" t="shared" si="21"/>
        <v>0</v>
      </c>
      <c r="G19">
        <f ca="1" t="shared" si="22"/>
        <v>5</v>
      </c>
      <c r="H19">
        <f ca="1" t="shared" si="7"/>
        <v>0</v>
      </c>
      <c r="I19">
        <f ca="1" t="shared" si="8"/>
        <v>0</v>
      </c>
      <c r="J19" s="120" t="s">
        <v>103</v>
      </c>
      <c r="K19" s="162" t="str">
        <f ca="1" t="shared" si="23"/>
        <v>1.1.5.</v>
      </c>
      <c r="L19" s="209" t="s">
        <v>228</v>
      </c>
      <c r="M19" s="209" t="s">
        <v>233</v>
      </c>
      <c r="N19" s="230" t="str">
        <f ca="1">IF($A19="S",Referencia.Descricao,"(digite a descrição aqui)")</f>
        <v>REGULARIZAÇÃO DE SUPERFÍCIES COM MOTONIVELADORA. AF_11/2019</v>
      </c>
      <c r="O19" s="229" t="str">
        <f ca="1">Referencia.Unidade</f>
        <v>M2</v>
      </c>
      <c r="P19" s="232">
        <f ca="1">OFFSET(PLQ!$E$12,ROW($P19)-ROW(P$12),0)</f>
        <v>3744</v>
      </c>
      <c r="Q19" s="228">
        <v>0.13</v>
      </c>
      <c r="R19" s="231" t="s">
        <v>7</v>
      </c>
      <c r="S19" s="121">
        <f ca="1" t="shared" si="24"/>
        <v>0.16</v>
      </c>
      <c r="T19" s="98">
        <f ca="1" t="shared" si="25"/>
        <v>599.04</v>
      </c>
      <c r="U19" s="13" t="str">
        <f ca="1" t="shared" si="26"/>
        <v/>
      </c>
      <c r="V19" s="4" t="str">
        <f ca="1">IF(OR($A19=0,$A19="S",$A19&gt;CFF!$A$9),"",MAX(V$12:OFFSET(V19,-1,0))+1)</f>
        <v/>
      </c>
      <c r="W19" s="9" t="str">
        <f t="shared" si="27"/>
        <v>Sinapi-100575</v>
      </c>
      <c r="X19" s="4">
        <f ca="1" t="shared" si="28"/>
        <v>5898</v>
      </c>
      <c r="Y19" s="121">
        <f ca="1">IF(Import.Desoneracao="sim",Referencia.Desonerado,Referencia.NaoDesonerado)</f>
        <v>0.13</v>
      </c>
      <c r="Z19" s="132">
        <f ca="1">ROUND(IF(ISNUMBER(R19),R19,IF(LEFT(R19,3)="BDI",HLOOKUP(R19,DADOS!$T$37:$X$38,2,FALSE),0)),15-11*$X$5)</f>
        <v>0.206</v>
      </c>
      <c r="AA19" s="4"/>
    </row>
    <row r="20" spans="1:27" ht="12.75">
      <c r="A20">
        <f t="shared" si="0"/>
        <v>2</v>
      </c>
      <c r="B20">
        <f ca="1" t="shared" si="1"/>
        <v>9</v>
      </c>
      <c r="C20">
        <f ca="1" t="shared" si="2"/>
        <v>1</v>
      </c>
      <c r="D20">
        <f ca="1" t="shared" si="3"/>
        <v>2</v>
      </c>
      <c r="E20">
        <f ca="1" t="shared" si="4"/>
        <v>0</v>
      </c>
      <c r="F20">
        <f ca="1" t="shared" si="5"/>
        <v>0</v>
      </c>
      <c r="G20">
        <f ca="1" t="shared" si="6"/>
        <v>0</v>
      </c>
      <c r="H20">
        <f ca="1" t="shared" si="7"/>
        <v>154</v>
      </c>
      <c r="I20">
        <f ca="1" t="shared" si="8"/>
        <v>9</v>
      </c>
      <c r="J20" s="120" t="s">
        <v>100</v>
      </c>
      <c r="K20" s="162" t="str">
        <f ca="1" t="shared" si="9"/>
        <v>1.2.</v>
      </c>
      <c r="L20" s="209"/>
      <c r="M20" s="209"/>
      <c r="N20" s="230" t="s">
        <v>253</v>
      </c>
      <c r="O20" s="229" t="str">
        <f ca="1">Referencia.Unidade</f>
        <v/>
      </c>
      <c r="P20" s="232">
        <f ca="1">OFFSET(PLQ!$E$12,ROW($P20)-ROW(P$12),0)</f>
        <v>0</v>
      </c>
      <c r="Q20" s="228"/>
      <c r="R20" s="231" t="s">
        <v>7</v>
      </c>
      <c r="S20" s="121">
        <f t="shared" si="10"/>
        <v>0</v>
      </c>
      <c r="T20" s="98">
        <f ca="1" t="shared" si="11"/>
        <v>82288.74</v>
      </c>
      <c r="U20" s="13" t="str">
        <f ca="1" t="shared" si="12"/>
        <v/>
      </c>
      <c r="V20" s="4">
        <f ca="1">IF(OR($A20=0,$A20="S",$A20&gt;CFF!$A$9),"",MAX(V$12:OFFSET(V20,-1,0))+1)</f>
        <v>3</v>
      </c>
      <c r="W20" s="9" t="b">
        <f t="shared" si="13"/>
        <v>0</v>
      </c>
      <c r="X20" s="4" t="str">
        <f ca="1" t="shared" si="14"/>
        <v>X</v>
      </c>
      <c r="Y20" s="121">
        <f ca="1" t="shared" si="15"/>
        <v>0</v>
      </c>
      <c r="Z20" s="132">
        <f ca="1">ROUND(IF(ISNUMBER(R20),R20,IF(LEFT(R20,3)="BDI",HLOOKUP(R20,DADOS!$T$37:$X$38,2,FALSE),0)),15-11*$X$5)</f>
        <v>0.206</v>
      </c>
      <c r="AA20" s="4"/>
    </row>
    <row r="21" spans="1:27" ht="52.8">
      <c r="A21" t="str">
        <f t="shared" si="0"/>
        <v>S</v>
      </c>
      <c r="B21">
        <f t="shared" si="1"/>
        <v>0</v>
      </c>
      <c r="C21">
        <f ca="1" t="shared" si="2"/>
        <v>1</v>
      </c>
      <c r="D21">
        <f ca="1" t="shared" si="3"/>
        <v>2</v>
      </c>
      <c r="E21">
        <f ca="1" t="shared" si="4"/>
        <v>0</v>
      </c>
      <c r="F21">
        <f ca="1" t="shared" si="5"/>
        <v>0</v>
      </c>
      <c r="G21">
        <f ca="1" t="shared" si="6"/>
        <v>1</v>
      </c>
      <c r="H21">
        <f ca="1" t="shared" si="7"/>
        <v>0</v>
      </c>
      <c r="I21">
        <f ca="1" t="shared" si="8"/>
        <v>0</v>
      </c>
      <c r="J21" s="120" t="s">
        <v>103</v>
      </c>
      <c r="K21" s="162" t="str">
        <f ca="1" t="shared" si="9"/>
        <v>1.2.1.</v>
      </c>
      <c r="L21" s="209" t="s">
        <v>231</v>
      </c>
      <c r="M21" s="209" t="s">
        <v>254</v>
      </c>
      <c r="N21" s="230" t="str">
        <f ca="1">IF($A21="S",Referencia.Descricao,"(digite a descrição aqui)")</f>
        <v>ESCAVAÇÃO MECANIZADA DE VALA COM PROF. ATÉ 1,5 M (MÉDIA MONTANTE E JUSANTE/UMA COMPOSIÇÃO POR TRECHO), ESCAVADEIRA (0,8 M3), LARG. DE 1,5 M A 2,5 M, EM SOLO DE 1A CATEGORIA, EM LOCAIS COM ALTO NÍVEL DE INTERFERÊNCIA. AF_02/2021</v>
      </c>
      <c r="O21" s="229" t="str">
        <f ca="1">Referencia.Unidade</f>
        <v>M3</v>
      </c>
      <c r="P21" s="232">
        <f ca="1">OFFSET(PLQ!$E$12,ROW($P21)-ROW(P$12),0)</f>
        <v>103.61</v>
      </c>
      <c r="Q21" s="228">
        <v>12.06</v>
      </c>
      <c r="R21" s="231" t="s">
        <v>7</v>
      </c>
      <c r="S21" s="121">
        <f ca="1" t="shared" si="10"/>
        <v>14.54</v>
      </c>
      <c r="T21" s="98">
        <f ca="1" t="shared" si="11"/>
        <v>1506.49</v>
      </c>
      <c r="U21" s="13" t="str">
        <f ca="1" t="shared" si="12"/>
        <v/>
      </c>
      <c r="V21" s="4" t="str">
        <f ca="1">IF(OR($A21=0,$A21="S",$A21&gt;CFF!$A$9),"",MAX(V$12:OFFSET(V21,-1,0))+1)</f>
        <v/>
      </c>
      <c r="W21" s="9" t="str">
        <f t="shared" si="13"/>
        <v>sinapi-90082</v>
      </c>
      <c r="X21" s="4">
        <f ca="1" t="shared" si="14"/>
        <v>5600</v>
      </c>
      <c r="Y21" s="121">
        <f ca="1" t="shared" si="15"/>
        <v>12.06</v>
      </c>
      <c r="Z21" s="132">
        <f ca="1">ROUND(IF(ISNUMBER(R21),R21,IF(LEFT(R21,3)="BDI",HLOOKUP(R21,DADOS!$T$37:$X$38,2,FALSE),0)),15-11*$X$5)</f>
        <v>0.206</v>
      </c>
      <c r="AA21" s="4"/>
    </row>
    <row r="22" spans="1:27" ht="26.4">
      <c r="A22" t="str">
        <f t="shared" si="0"/>
        <v>S</v>
      </c>
      <c r="B22">
        <f t="shared" si="1"/>
        <v>0</v>
      </c>
      <c r="C22">
        <f ca="1" t="shared" si="2"/>
        <v>1</v>
      </c>
      <c r="D22">
        <f ca="1" t="shared" si="3"/>
        <v>2</v>
      </c>
      <c r="E22">
        <f ca="1" t="shared" si="4"/>
        <v>0</v>
      </c>
      <c r="F22">
        <f ca="1" t="shared" si="5"/>
        <v>0</v>
      </c>
      <c r="G22">
        <f ca="1" t="shared" si="6"/>
        <v>2</v>
      </c>
      <c r="H22">
        <f ca="1" t="shared" si="7"/>
        <v>0</v>
      </c>
      <c r="I22">
        <f ca="1" t="shared" si="8"/>
        <v>0</v>
      </c>
      <c r="J22" s="120" t="s">
        <v>103</v>
      </c>
      <c r="K22" s="162" t="str">
        <f ca="1" t="shared" si="9"/>
        <v>1.2.2.</v>
      </c>
      <c r="L22" s="209" t="s">
        <v>228</v>
      </c>
      <c r="M22" s="209" t="s">
        <v>243</v>
      </c>
      <c r="N22" s="230" t="str">
        <f ca="1">IF($A22="S",Referencia.Descricao,"(digite a descrição aqui)")</f>
        <v>PREPARO DE FUNDO DE VALA COM LARGURA MENOR QUE 1,5 M (ACERTO DO SOLO NATURAL). AF_08/2020</v>
      </c>
      <c r="O22" s="229" t="str">
        <f ca="1">Referencia.Unidade</f>
        <v>M2</v>
      </c>
      <c r="P22" s="232">
        <f ca="1">OFFSET(PLQ!$E$12,ROW($P22)-ROW(P$12),0)</f>
        <v>103.61</v>
      </c>
      <c r="Q22" s="228">
        <v>6.13</v>
      </c>
      <c r="R22" s="231" t="s">
        <v>7</v>
      </c>
      <c r="S22" s="121">
        <f ca="1" t="shared" si="10"/>
        <v>7.39</v>
      </c>
      <c r="T22" s="98">
        <f ca="1" t="shared" si="11"/>
        <v>765.68</v>
      </c>
      <c r="U22" s="13" t="str">
        <f ca="1" t="shared" si="12"/>
        <v/>
      </c>
      <c r="V22" s="4" t="str">
        <f ca="1">IF(OR($A22=0,$A22="S",$A22&gt;CFF!$A$9),"",MAX(V$12:OFFSET(V22,-1,0))+1)</f>
        <v/>
      </c>
      <c r="W22" s="9" t="str">
        <f t="shared" si="13"/>
        <v>Sinapi-101616</v>
      </c>
      <c r="X22" s="4">
        <f ca="1" t="shared" si="14"/>
        <v>5727</v>
      </c>
      <c r="Y22" s="121">
        <f ca="1" t="shared" si="15"/>
        <v>6.13</v>
      </c>
      <c r="Z22" s="132">
        <f ca="1">ROUND(IF(ISNUMBER(R22),R22,IF(LEFT(R22,3)="BDI",HLOOKUP(R22,DADOS!$T$37:$X$38,2,FALSE),0)),15-11*$X$5)</f>
        <v>0.206</v>
      </c>
      <c r="AA22" s="4"/>
    </row>
    <row r="23" spans="1:27" ht="26.4">
      <c r="A23" t="str">
        <f t="shared" si="0"/>
        <v>S</v>
      </c>
      <c r="B23">
        <f t="shared" si="1"/>
        <v>0</v>
      </c>
      <c r="C23">
        <f ca="1" t="shared" si="2"/>
        <v>1</v>
      </c>
      <c r="D23">
        <f ca="1" t="shared" si="3"/>
        <v>2</v>
      </c>
      <c r="E23">
        <f ca="1" t="shared" si="4"/>
        <v>0</v>
      </c>
      <c r="F23">
        <f ca="1" t="shared" si="5"/>
        <v>0</v>
      </c>
      <c r="G23">
        <f ca="1" t="shared" si="6"/>
        <v>3</v>
      </c>
      <c r="H23">
        <f ca="1" t="shared" si="7"/>
        <v>0</v>
      </c>
      <c r="I23">
        <f ca="1" t="shared" si="8"/>
        <v>0</v>
      </c>
      <c r="J23" s="120" t="s">
        <v>103</v>
      </c>
      <c r="K23" s="162" t="str">
        <f ca="1" t="shared" si="9"/>
        <v>1.2.3.</v>
      </c>
      <c r="L23" s="209" t="s">
        <v>228</v>
      </c>
      <c r="M23" s="209" t="s">
        <v>255</v>
      </c>
      <c r="N23" s="230" t="str">
        <f ca="1">IF($A23="S",Referencia.Descricao,"(digite a descrição aqui)")</f>
        <v>LASTRO DE CONCRETO MAGRO, APLICADO EM BLOCOS DE COROAMENTO OU SAPATAS, ESPESSURA DE 5 CM. AF_08/2017</v>
      </c>
      <c r="O23" s="229" t="str">
        <f ca="1">Referencia.Unidade</f>
        <v>M2</v>
      </c>
      <c r="P23" s="232">
        <f ca="1">OFFSET(PLQ!$E$12,ROW($P23)-ROW(P$12),0)</f>
        <v>103.61</v>
      </c>
      <c r="Q23" s="228">
        <v>30.79</v>
      </c>
      <c r="R23" s="231" t="s">
        <v>7</v>
      </c>
      <c r="S23" s="121">
        <f ca="1" t="shared" si="10"/>
        <v>37.13</v>
      </c>
      <c r="T23" s="98">
        <f ca="1" t="shared" si="11"/>
        <v>3847.04</v>
      </c>
      <c r="U23" s="13" t="str">
        <f ca="1" t="shared" si="12"/>
        <v/>
      </c>
      <c r="V23" s="4" t="str">
        <f ca="1">IF(OR($A23=0,$A23="S",$A23&gt;CFF!$A$9),"",MAX(V$12:OFFSET(V23,-1,0))+1)</f>
        <v/>
      </c>
      <c r="W23" s="9" t="str">
        <f t="shared" si="13"/>
        <v>Sinapi-96619</v>
      </c>
      <c r="X23" s="4">
        <f ca="1" t="shared" si="14"/>
        <v>2177</v>
      </c>
      <c r="Y23" s="121">
        <f ca="1" t="shared" si="15"/>
        <v>30.79</v>
      </c>
      <c r="Z23" s="132">
        <f ca="1">ROUND(IF(ISNUMBER(R23),R23,IF(LEFT(R23,3)="BDI",HLOOKUP(R23,DADOS!$T$37:$X$38,2,FALSE),0)),15-11*$X$5)</f>
        <v>0.206</v>
      </c>
      <c r="AA23" s="4"/>
    </row>
    <row r="24" spans="1:27" ht="26.4">
      <c r="A24" t="str">
        <f t="shared" si="0"/>
        <v>S</v>
      </c>
      <c r="B24">
        <f t="shared" si="1"/>
        <v>0</v>
      </c>
      <c r="C24">
        <f ca="1" t="shared" si="2"/>
        <v>1</v>
      </c>
      <c r="D24">
        <f ca="1" t="shared" si="3"/>
        <v>2</v>
      </c>
      <c r="E24">
        <f ca="1" t="shared" si="4"/>
        <v>0</v>
      </c>
      <c r="F24">
        <f ca="1" t="shared" si="5"/>
        <v>0</v>
      </c>
      <c r="G24">
        <f ca="1" t="shared" si="6"/>
        <v>4</v>
      </c>
      <c r="H24">
        <f ca="1" t="shared" si="7"/>
        <v>0</v>
      </c>
      <c r="I24">
        <f ca="1" t="shared" si="8"/>
        <v>0</v>
      </c>
      <c r="J24" s="120" t="s">
        <v>103</v>
      </c>
      <c r="K24" s="162" t="str">
        <f ca="1" t="shared" si="9"/>
        <v>1.2.4.</v>
      </c>
      <c r="L24" s="209" t="s">
        <v>231</v>
      </c>
      <c r="M24" s="209" t="s">
        <v>256</v>
      </c>
      <c r="N24" s="230" t="str">
        <f ca="1">IF($A24="S",Referencia.Descricao,"(digite a descrição aqui)")</f>
        <v>ARMAÇÃO DE BLOCO, VIGA BALDRAME OU SAPATA UTILIZANDO AÇO CA-50 DE 10 MM - MONTAGEM. AF_06/2017</v>
      </c>
      <c r="O24" s="229" t="str">
        <f ca="1">Referencia.Unidade</f>
        <v>KG</v>
      </c>
      <c r="P24" s="232">
        <f ca="1">OFFSET(PLQ!$E$12,ROW($P24)-ROW(P$12),0)</f>
        <v>1698.84</v>
      </c>
      <c r="Q24" s="228">
        <v>13.58</v>
      </c>
      <c r="R24" s="231" t="s">
        <v>7</v>
      </c>
      <c r="S24" s="121">
        <f ca="1" t="shared" si="10"/>
        <v>16.38</v>
      </c>
      <c r="T24" s="98">
        <f ca="1" t="shared" si="11"/>
        <v>27827</v>
      </c>
      <c r="U24" s="13" t="str">
        <f ca="1" t="shared" si="12"/>
        <v/>
      </c>
      <c r="V24" s="4" t="str">
        <f ca="1">IF(OR($A24=0,$A24="S",$A24&gt;CFF!$A$9),"",MAX(V$12:OFFSET(V24,-1,0))+1)</f>
        <v/>
      </c>
      <c r="W24" s="9" t="str">
        <f t="shared" si="13"/>
        <v>sinapi-96546</v>
      </c>
      <c r="X24" s="4">
        <f ca="1" t="shared" si="14"/>
        <v>2503</v>
      </c>
      <c r="Y24" s="121">
        <f ca="1" t="shared" si="15"/>
        <v>13.58</v>
      </c>
      <c r="Z24" s="132">
        <f ca="1">ROUND(IF(ISNUMBER(R24),R24,IF(LEFT(R24,3)="BDI",HLOOKUP(R24,DADOS!$T$37:$X$38,2,FALSE),0)),15-11*$X$5)</f>
        <v>0.206</v>
      </c>
      <c r="AA24" s="4"/>
    </row>
    <row r="25" spans="1:27" ht="26.4">
      <c r="A25" t="str">
        <f>CHOOSE(1+LOG(1+2*(J25="Meta")+4*(J25="Nível 2")+8*(J25="Nível 3")+16*(J25="Nível 4")+32*(J25="Serviço"),2),0,1,2,3,4,"S")</f>
        <v>S</v>
      </c>
      <c r="B25">
        <f>IF(OR(A25="S",A25=0),0,IF(ISERROR(I25),H25,SMALL(H25:I25,1)))</f>
        <v>0</v>
      </c>
      <c r="C25">
        <f ca="1">IF($A25=1,OFFSET(C25,-1,0)+1,OFFSET(C25,-1,0))</f>
        <v>1</v>
      </c>
      <c r="D25">
        <f ca="1">IF($A25=1,0,IF($A25=2,OFFSET(D25,-1,0)+1,OFFSET(D25,-1,0)))</f>
        <v>2</v>
      </c>
      <c r="E25">
        <f ca="1">IF(AND($A25&lt;=2,$A25&lt;&gt;0),0,IF($A25=3,OFFSET(E25,-1,0)+1,OFFSET(E25,-1,0)))</f>
        <v>0</v>
      </c>
      <c r="F25">
        <f ca="1">IF(AND($A25&lt;=3,$A25&lt;&gt;0),0,IF($A25=4,OFFSET(F25,-1,0)+1,OFFSET(F25,-1,0)))</f>
        <v>0</v>
      </c>
      <c r="G25">
        <f ca="1">IF(AND($A25&lt;=4,$A25&lt;&gt;0),0,IF($A25="S",OFFSET(G25,-1,0)+1,OFFSET(G25,-1,0)))</f>
        <v>5</v>
      </c>
      <c r="H25">
        <f ca="1" t="shared" si="7"/>
        <v>0</v>
      </c>
      <c r="I25">
        <f ca="1" t="shared" si="8"/>
        <v>0</v>
      </c>
      <c r="J25" s="120" t="s">
        <v>103</v>
      </c>
      <c r="K25" s="162" t="str">
        <f ca="1">IF($A25=0,"-",CONCATENATE(C25&amp;".",IF(AND($A$5&gt;=2,$A25&gt;=2),D25&amp;".",""),IF(AND($A$5&gt;=3,$A25&gt;=3),E25&amp;".",""),IF(AND($A$5&gt;=4,$A25&gt;=4),F25&amp;".",""),IF($A25="S",G25&amp;".","")))</f>
        <v>1.2.5.</v>
      </c>
      <c r="L25" s="209" t="s">
        <v>228</v>
      </c>
      <c r="M25" s="209" t="s">
        <v>259</v>
      </c>
      <c r="N25" s="230" t="str">
        <f ca="1">IF($A25="S",Referencia.Descricao,"(digite a descrição aqui)")</f>
        <v>ARMAÇÃO DE PILAR OU VIGA DE ESTRUTURA CONVENCIONAL DE CONCRETO ARMADO UTILIZANDO AÇO CA-50 DE 10,0 MM - MONTAGEM. AF_06/2022</v>
      </c>
      <c r="O25" s="229" t="str">
        <f ca="1">Referencia.Unidade</f>
        <v>KG</v>
      </c>
      <c r="P25" s="232">
        <f ca="1">OFFSET(PLQ!$E$12,ROW($P25)-ROW(P$12),0)</f>
        <v>487.76</v>
      </c>
      <c r="Q25" s="228">
        <v>11.85</v>
      </c>
      <c r="R25" s="231" t="s">
        <v>7</v>
      </c>
      <c r="S25" s="121">
        <f ca="1">IF($A25="S",IF($Q$10="Preço Unitário (R$)",PO.CustoUnitario,ROUND(PO.CustoUnitario*(1+$Z25),15-13*$X$6)),0)</f>
        <v>14.29</v>
      </c>
      <c r="T25" s="98">
        <f ca="1">IF($A25="S",VTOTAL1,IF($A25=0,0,ROUND(SomaAgrup,15-13*$X$7)))</f>
        <v>6970.09</v>
      </c>
      <c r="U25" s="13" t="str">
        <f ca="1">IF($J25="","",IF($N25="","DESCRIÇÃO",IF(AND($J25="Serviço",$O25=""),"UNIDADE",IF($T25&lt;=0,"SEM VALOR",IF(AND($Y25&lt;&gt;"",$Q25&gt;$Y25),"ACIMA REF.","")))))</f>
        <v/>
      </c>
      <c r="V25" s="4" t="str">
        <f ca="1">IF(OR($A25=0,$A25="S",$A25&gt;CFF!$A$9),"",MAX(V$12:OFFSET(V25,-1,0))+1)</f>
        <v/>
      </c>
      <c r="W25" s="9" t="str">
        <f>IF(AND($J25="Serviço",$M25&lt;&gt;""),IF($L25="",$M25,CONCATENATE($L25,"-",$M25)))</f>
        <v>Sinapi-92762</v>
      </c>
      <c r="X25" s="4">
        <f ca="1">IF(AND(Fonte&lt;&gt;"",Código&lt;&gt;""),MATCH(Fonte&amp;" "&amp;IF(Fonte="sinapi",SUBSTITUTE(SUBSTITUTE(Código,"/00","/"),"/0","/"),Código),INDIRECT("'[Referência "&amp;_XLNM.DATABASE&amp;".xls]Banco'!$a:$a"),0),"X")</f>
        <v>2439</v>
      </c>
      <c r="Y25" s="121">
        <f ca="1">IF(Import.Desoneracao="sim",Referencia.Desonerado,Referencia.NaoDesonerado)</f>
        <v>11.85</v>
      </c>
      <c r="Z25" s="132">
        <f ca="1">ROUND(IF(ISNUMBER(R25),R25,IF(LEFT(R25,3)="BDI",HLOOKUP(R25,DADOS!$T$37:$X$38,2,FALSE),0)),15-11*$X$5)</f>
        <v>0.206</v>
      </c>
      <c r="AA25" s="4"/>
    </row>
    <row r="26" spans="1:27" ht="26.4">
      <c r="A26" t="str">
        <f>CHOOSE(1+LOG(1+2*(J26="Meta")+4*(J26="Nível 2")+8*(J26="Nível 3")+16*(J26="Nível 4")+32*(J26="Serviço"),2),0,1,2,3,4,"S")</f>
        <v>S</v>
      </c>
      <c r="B26">
        <f>IF(OR(A26="S",A26=0),0,IF(ISERROR(I26),H26,SMALL(H26:I26,1)))</f>
        <v>0</v>
      </c>
      <c r="C26">
        <f ca="1">IF($A26=1,OFFSET(C26,-1,0)+1,OFFSET(C26,-1,0))</f>
        <v>1</v>
      </c>
      <c r="D26">
        <f ca="1">IF($A26=1,0,IF($A26=2,OFFSET(D26,-1,0)+1,OFFSET(D26,-1,0)))</f>
        <v>2</v>
      </c>
      <c r="E26">
        <f ca="1">IF(AND($A26&lt;=2,$A26&lt;&gt;0),0,IF($A26=3,OFFSET(E26,-1,0)+1,OFFSET(E26,-1,0)))</f>
        <v>0</v>
      </c>
      <c r="F26">
        <f ca="1">IF(AND($A26&lt;=3,$A26&lt;&gt;0),0,IF($A26=4,OFFSET(F26,-1,0)+1,OFFSET(F26,-1,0)))</f>
        <v>0</v>
      </c>
      <c r="G26">
        <f ca="1">IF(AND($A26&lt;=4,$A26&lt;&gt;0),0,IF($A26="S",OFFSET(G26,-1,0)+1,OFFSET(G26,-1,0)))</f>
        <v>6</v>
      </c>
      <c r="H26">
        <f ca="1" t="shared" si="7"/>
        <v>0</v>
      </c>
      <c r="I26">
        <f ca="1" t="shared" si="8"/>
        <v>0</v>
      </c>
      <c r="J26" s="120" t="s">
        <v>103</v>
      </c>
      <c r="K26" s="162" t="str">
        <f ca="1">IF($A26=0,"-",CONCATENATE(C26&amp;".",IF(AND($A$5&gt;=2,$A26&gt;=2),D26&amp;".",""),IF(AND($A$5&gt;=3,$A26&gt;=3),E26&amp;".",""),IF(AND($A$5&gt;=4,$A26&gt;=4),F26&amp;".",""),IF($A26="S",G26&amp;".","")))</f>
        <v>1.2.6.</v>
      </c>
      <c r="L26" s="209" t="s">
        <v>228</v>
      </c>
      <c r="M26" s="209" t="s">
        <v>269</v>
      </c>
      <c r="N26" s="230" t="str">
        <f ca="1">IF($A26="S",Referencia.Descricao,"(digite a descrição aqui)")</f>
        <v>ARMAÇÃO DE PILAR OU VIGA DE ESTRUTURA CONVENCIONAL DE CONCRETO ARMADO UTILIZANDO AÇO CA-60 DE 5,0 MM - MONTAGEM. AF_06/2022</v>
      </c>
      <c r="O26" s="229" t="str">
        <f ca="1">Referencia.Unidade</f>
        <v>KG</v>
      </c>
      <c r="P26" s="232">
        <f ca="1">OFFSET(PLQ!$E$12,ROW($P26)-ROW(P$12),0)</f>
        <v>109.85</v>
      </c>
      <c r="Q26" s="228">
        <v>14.49</v>
      </c>
      <c r="R26" s="231" t="s">
        <v>7</v>
      </c>
      <c r="S26" s="121">
        <f ca="1">IF($A26="S",IF($Q$10="Preço Unitário (R$)",PO.CustoUnitario,ROUND(PO.CustoUnitario*(1+$Z26),15-13*$X$6)),0)</f>
        <v>17.47</v>
      </c>
      <c r="T26" s="98">
        <f ca="1">IF($A26="S",VTOTAL1,IF($A26=0,0,ROUND(SomaAgrup,15-13*$X$7)))</f>
        <v>1919.08</v>
      </c>
      <c r="U26" s="13" t="str">
        <f ca="1">IF($J26="","",IF($N26="","DESCRIÇÃO",IF(AND($J26="Serviço",$O26=""),"UNIDADE",IF($T26&lt;=0,"SEM VALOR",IF(AND($Y26&lt;&gt;"",$Q26&gt;$Y26),"ACIMA REF.","")))))</f>
        <v/>
      </c>
      <c r="V26" s="4" t="str">
        <f ca="1">IF(OR($A26=0,$A26="S",$A26&gt;CFF!$A$9),"",MAX(V$12:OFFSET(V26,-1,0))+1)</f>
        <v/>
      </c>
      <c r="W26" s="9" t="str">
        <f>IF(AND($J26="Serviço",$M26&lt;&gt;""),IF($L26="",$M26,CONCATENATE($L26,"-",$M26)))</f>
        <v>Sinapi-92759</v>
      </c>
      <c r="X26" s="4">
        <f ca="1">IF(AND(Fonte&lt;&gt;"",Código&lt;&gt;""),MATCH(Fonte&amp;" "&amp;IF(Fonte="sinapi",SUBSTITUTE(SUBSTITUTE(Código,"/00","/"),"/0","/"),Código),INDIRECT("'[Referência "&amp;_XLNM.DATABASE&amp;".xls]Banco'!$a:$a"),0),"X")</f>
        <v>2436</v>
      </c>
      <c r="Y26" s="121">
        <f ca="1">IF(Import.Desoneracao="sim",Referencia.Desonerado,Referencia.NaoDesonerado)</f>
        <v>14.49</v>
      </c>
      <c r="Z26" s="132">
        <f ca="1">ROUND(IF(ISNUMBER(R26),R26,IF(LEFT(R26,3)="BDI",HLOOKUP(R26,DADOS!$T$37:$X$38,2,FALSE),0)),15-11*$X$5)</f>
        <v>0.206</v>
      </c>
      <c r="AA26" s="4"/>
    </row>
    <row r="27" spans="1:27" ht="26.4">
      <c r="A27" t="str">
        <f>CHOOSE(1+LOG(1+2*(J27="Meta")+4*(J27="Nível 2")+8*(J27="Nível 3")+16*(J27="Nível 4")+32*(J27="Serviço"),2),0,1,2,3,4,"S")</f>
        <v>S</v>
      </c>
      <c r="B27">
        <f>IF(OR(A27="S",A27=0),0,IF(ISERROR(I27),H27,SMALL(H27:I27,1)))</f>
        <v>0</v>
      </c>
      <c r="C27">
        <f ca="1">IF($A27=1,OFFSET(C27,-1,0)+1,OFFSET(C27,-1,0))</f>
        <v>1</v>
      </c>
      <c r="D27">
        <f ca="1">IF($A27=1,0,IF($A27=2,OFFSET(D27,-1,0)+1,OFFSET(D27,-1,0)))</f>
        <v>2</v>
      </c>
      <c r="E27">
        <f ca="1">IF(AND($A27&lt;=2,$A27&lt;&gt;0),0,IF($A27=3,OFFSET(E27,-1,0)+1,OFFSET(E27,-1,0)))</f>
        <v>0</v>
      </c>
      <c r="F27">
        <f ca="1">IF(AND($A27&lt;=3,$A27&lt;&gt;0),0,IF($A27=4,OFFSET(F27,-1,0)+1,OFFSET(F27,-1,0)))</f>
        <v>0</v>
      </c>
      <c r="G27">
        <f ca="1">IF(AND($A27&lt;=4,$A27&lt;&gt;0),0,IF($A27="S",OFFSET(G27,-1,0)+1,OFFSET(G27,-1,0)))</f>
        <v>7</v>
      </c>
      <c r="H27">
        <f ca="1" t="shared" si="7"/>
        <v>0</v>
      </c>
      <c r="I27">
        <f ca="1" t="shared" si="8"/>
        <v>0</v>
      </c>
      <c r="J27" s="120" t="s">
        <v>103</v>
      </c>
      <c r="K27" s="162" t="str">
        <f ca="1">IF($A27=0,"-",CONCATENATE(C27&amp;".",IF(AND($A$5&gt;=2,$A27&gt;=2),D27&amp;".",""),IF(AND($A$5&gt;=3,$A27&gt;=3),E27&amp;".",""),IF(AND($A$5&gt;=4,$A27&gt;=4),F27&amp;".",""),IF($A27="S",G27&amp;".","")))</f>
        <v>1.2.7.</v>
      </c>
      <c r="L27" s="209" t="s">
        <v>228</v>
      </c>
      <c r="M27" s="209" t="s">
        <v>257</v>
      </c>
      <c r="N27" s="230" t="str">
        <f ca="1">IF($A27="S",Referencia.Descricao,"(digite a descrição aqui)")</f>
        <v>CONCRETAGEM DE SAPATAS, FCK 30 MPA, COM USO DE BOMBA  LANÇAMENTO, ADENSAMENTO E ACABAMENTO. AF_11/2016</v>
      </c>
      <c r="O27" s="229" t="str">
        <f ca="1">Referencia.Unidade</f>
        <v>M3</v>
      </c>
      <c r="P27" s="232">
        <f ca="1">OFFSET(PLQ!$E$12,ROW($P27)-ROW(P$12),0)</f>
        <v>47.32</v>
      </c>
      <c r="Q27" s="228">
        <v>646.61</v>
      </c>
      <c r="R27" s="231" t="s">
        <v>7</v>
      </c>
      <c r="S27" s="121">
        <f ca="1">IF($A27="S",IF($Q$10="Preço Unitário (R$)",PO.CustoUnitario,ROUND(PO.CustoUnitario*(1+$Z27),15-13*$X$6)),0)</f>
        <v>779.81</v>
      </c>
      <c r="T27" s="98">
        <f ca="1">IF($A27="S",VTOTAL1,IF($A27=0,0,ROUND(SomaAgrup,15-13*$X$7)))</f>
        <v>36900.61</v>
      </c>
      <c r="U27" s="13" t="str">
        <f ca="1">IF($J27="","",IF($N27="","DESCRIÇÃO",IF(AND($J27="Serviço",$O27=""),"UNIDADE",IF($T27&lt;=0,"SEM VALOR",IF(AND($Y27&lt;&gt;"",$Q27&gt;$Y27),"ACIMA REF.","")))))</f>
        <v/>
      </c>
      <c r="V27" s="4" t="str">
        <f ca="1">IF(OR($A27=0,$A27="S",$A27&gt;CFF!$A$9),"",MAX(V$12:OFFSET(V27,-1,0))+1)</f>
        <v/>
      </c>
      <c r="W27" s="9" t="str">
        <f>IF(AND($J27="Serviço",$M27&lt;&gt;""),IF($L27="",$M27,CONCATENATE($L27,"-",$M27)))</f>
        <v>Sinapi-96558</v>
      </c>
      <c r="X27" s="4">
        <f ca="1">IF(AND(Fonte&lt;&gt;"",Código&lt;&gt;""),MATCH(Fonte&amp;" "&amp;IF(Fonte="sinapi",SUBSTITUTE(SUBSTITUTE(Código,"/00","/"),"/0","/"),Código),INDIRECT("'[Referência "&amp;_XLNM.DATABASE&amp;".xls]Banco'!$a:$a"),0),"X")</f>
        <v>2553</v>
      </c>
      <c r="Y27" s="121">
        <f ca="1">IF(Import.Desoneracao="sim",Referencia.Desonerado,Referencia.NaoDesonerado)</f>
        <v>646.61</v>
      </c>
      <c r="Z27" s="132">
        <f ca="1">ROUND(IF(ISNUMBER(R27),R27,IF(LEFT(R27,3)="BDI",HLOOKUP(R27,DADOS!$T$37:$X$38,2,FALSE),0)),15-11*$X$5)</f>
        <v>0.206</v>
      </c>
      <c r="AA27" s="4"/>
    </row>
    <row r="28" spans="1:27" ht="12.75">
      <c r="A28" t="str">
        <f t="shared" si="0"/>
        <v>S</v>
      </c>
      <c r="B28">
        <f t="shared" si="1"/>
        <v>0</v>
      </c>
      <c r="C28">
        <f ca="1" t="shared" si="2"/>
        <v>1</v>
      </c>
      <c r="D28">
        <f ca="1" t="shared" si="3"/>
        <v>2</v>
      </c>
      <c r="E28">
        <f ca="1" t="shared" si="4"/>
        <v>0</v>
      </c>
      <c r="F28">
        <f ca="1" t="shared" si="5"/>
        <v>0</v>
      </c>
      <c r="G28">
        <f ca="1" t="shared" si="6"/>
        <v>8</v>
      </c>
      <c r="H28">
        <f ca="1" t="shared" si="7"/>
        <v>0</v>
      </c>
      <c r="I28">
        <f ca="1" t="shared" si="8"/>
        <v>0</v>
      </c>
      <c r="J28" s="120" t="s">
        <v>103</v>
      </c>
      <c r="K28" s="162" t="str">
        <f ca="1" t="shared" si="9"/>
        <v>1.2.8.</v>
      </c>
      <c r="L28" s="209" t="s">
        <v>228</v>
      </c>
      <c r="M28" s="209" t="s">
        <v>258</v>
      </c>
      <c r="N28" s="230" t="str">
        <f ca="1">IF($A28="S",Referencia.Descricao,"(digite a descrição aqui)")</f>
        <v>REATERRO MANUAL DE VALAS COM COMPACTAÇÃO MECANIZADA. AF_04/2016</v>
      </c>
      <c r="O28" s="229" t="str">
        <f ca="1">Referencia.Unidade</f>
        <v>M3</v>
      </c>
      <c r="P28" s="232">
        <f ca="1">OFFSET(PLQ!$E$12,ROW($P28)-ROW(P$12),0)</f>
        <v>61.75</v>
      </c>
      <c r="Q28" s="228">
        <v>34.28</v>
      </c>
      <c r="R28" s="231" t="s">
        <v>7</v>
      </c>
      <c r="S28" s="121">
        <f ca="1" t="shared" si="10"/>
        <v>41.34</v>
      </c>
      <c r="T28" s="98">
        <f ca="1" t="shared" si="11"/>
        <v>2552.75</v>
      </c>
      <c r="U28" s="13" t="str">
        <f ca="1" t="shared" si="12"/>
        <v/>
      </c>
      <c r="V28" s="4" t="str">
        <f ca="1">IF(OR($A28=0,$A28="S",$A28&gt;CFF!$A$9),"",MAX(V$12:OFFSET(V28,-1,0))+1)</f>
        <v/>
      </c>
      <c r="W28" s="9" t="str">
        <f t="shared" si="13"/>
        <v>Sinapi-93382</v>
      </c>
      <c r="X28" s="4">
        <f ca="1" t="shared" si="14"/>
        <v>5721</v>
      </c>
      <c r="Y28" s="121">
        <f ca="1" t="shared" si="15"/>
        <v>34.28</v>
      </c>
      <c r="Z28" s="132">
        <f ca="1">ROUND(IF(ISNUMBER(R28),R28,IF(LEFT(R28,3)="BDI",HLOOKUP(R28,DADOS!$T$37:$X$38,2,FALSE),0)),15-11*$X$5)</f>
        <v>0.206</v>
      </c>
      <c r="AA28" s="4"/>
    </row>
    <row r="29" spans="1:27" ht="12.75">
      <c r="A29">
        <f t="shared" si="0"/>
        <v>2</v>
      </c>
      <c r="B29">
        <f ca="1" t="shared" si="1"/>
        <v>7</v>
      </c>
      <c r="C29">
        <f ca="1" t="shared" si="2"/>
        <v>1</v>
      </c>
      <c r="D29">
        <f ca="1" t="shared" si="3"/>
        <v>3</v>
      </c>
      <c r="E29">
        <f ca="1" t="shared" si="4"/>
        <v>0</v>
      </c>
      <c r="F29">
        <f ca="1" t="shared" si="5"/>
        <v>0</v>
      </c>
      <c r="G29">
        <f ca="1" t="shared" si="6"/>
        <v>0</v>
      </c>
      <c r="H29">
        <f ca="1" t="shared" si="7"/>
        <v>145</v>
      </c>
      <c r="I29">
        <f ca="1" t="shared" si="8"/>
        <v>7</v>
      </c>
      <c r="J29" s="120" t="s">
        <v>100</v>
      </c>
      <c r="K29" s="162" t="str">
        <f ca="1" t="shared" si="9"/>
        <v>1.3.</v>
      </c>
      <c r="L29" s="209"/>
      <c r="M29" s="209"/>
      <c r="N29" s="230" t="s">
        <v>324</v>
      </c>
      <c r="O29" s="229" t="str">
        <f ca="1">Referencia.Unidade</f>
        <v/>
      </c>
      <c r="P29" s="232">
        <f ca="1">OFFSET(PLQ!$E$12,ROW($P29)-ROW(P$12),0)</f>
        <v>0</v>
      </c>
      <c r="Q29" s="228"/>
      <c r="R29" s="231" t="s">
        <v>7</v>
      </c>
      <c r="S29" s="121">
        <f t="shared" si="10"/>
        <v>0</v>
      </c>
      <c r="T29" s="98">
        <f ca="1" t="shared" si="11"/>
        <v>95548.85</v>
      </c>
      <c r="U29" s="13" t="str">
        <f ca="1" t="shared" si="12"/>
        <v/>
      </c>
      <c r="V29" s="4">
        <f ca="1">IF(OR($A29=0,$A29="S",$A29&gt;CFF!$A$9),"",MAX(V$12:OFFSET(V29,-1,0))+1)</f>
        <v>4</v>
      </c>
      <c r="W29" s="9" t="b">
        <f t="shared" si="13"/>
        <v>0</v>
      </c>
      <c r="X29" s="4" t="str">
        <f ca="1" t="shared" si="14"/>
        <v>X</v>
      </c>
      <c r="Y29" s="121">
        <f ca="1" t="shared" si="15"/>
        <v>0</v>
      </c>
      <c r="Z29" s="132">
        <f ca="1">ROUND(IF(ISNUMBER(R29),R29,IF(LEFT(R29,3)="BDI",HLOOKUP(R29,DADOS!$T$37:$X$38,2,FALSE),0)),15-11*$X$5)</f>
        <v>0.206</v>
      </c>
      <c r="AA29" s="4"/>
    </row>
    <row r="30" spans="1:27" ht="26.4">
      <c r="A30" t="str">
        <f>CHOOSE(1+LOG(1+2*(J30="Meta")+4*(J30="Nível 2")+8*(J30="Nível 3")+16*(J30="Nível 4")+32*(J30="Serviço"),2),0,1,2,3,4,"S")</f>
        <v>S</v>
      </c>
      <c r="B30">
        <f>IF(OR(A30="S",A30=0),0,IF(ISERROR(I30),H30,SMALL(H30:I30,1)))</f>
        <v>0</v>
      </c>
      <c r="C30">
        <f ca="1">IF($A30=1,OFFSET(C30,-1,0)+1,OFFSET(C30,-1,0))</f>
        <v>1</v>
      </c>
      <c r="D30">
        <f ca="1">IF($A30=1,0,IF($A30=2,OFFSET(D30,-1,0)+1,OFFSET(D30,-1,0)))</f>
        <v>3</v>
      </c>
      <c r="E30">
        <f ca="1">IF(AND($A30&lt;=2,$A30&lt;&gt;0),0,IF($A30=3,OFFSET(E30,-1,0)+1,OFFSET(E30,-1,0)))</f>
        <v>0</v>
      </c>
      <c r="F30">
        <f ca="1">IF(AND($A30&lt;=3,$A30&lt;&gt;0),0,IF($A30=4,OFFSET(F30,-1,0)+1,OFFSET(F30,-1,0)))</f>
        <v>0</v>
      </c>
      <c r="G30">
        <f ca="1">IF(AND($A30&lt;=4,$A30&lt;&gt;0),0,IF($A30="S",OFFSET(G30,-1,0)+1,OFFSET(G30,-1,0)))</f>
        <v>1</v>
      </c>
      <c r="H30">
        <f ca="1" t="shared" si="7"/>
        <v>0</v>
      </c>
      <c r="I30">
        <f ca="1" t="shared" si="8"/>
        <v>0</v>
      </c>
      <c r="J30" s="120" t="s">
        <v>103</v>
      </c>
      <c r="K30" s="162" t="str">
        <f ca="1">IF($A30=0,"-",CONCATENATE(C30&amp;".",IF(AND($A$5&gt;=2,$A30&gt;=2),D30&amp;".",""),IF(AND($A$5&gt;=3,$A30&gt;=3),E30&amp;".",""),IF(AND($A$5&gt;=4,$A30&gt;=4),F30&amp;".",""),IF($A30="S",G30&amp;".","")))</f>
        <v>1.3.1.</v>
      </c>
      <c r="L30" s="209" t="s">
        <v>228</v>
      </c>
      <c r="M30" s="209" t="s">
        <v>260</v>
      </c>
      <c r="N30" s="230" t="str">
        <f ca="1">IF($A30="S",Referencia.Descricao,"(digite a descrição aqui)")</f>
        <v>ESCAVAÇÃO MANUAL DE VALA COM PROFUNDIDADE MENOR OU IGUAL A 1,30 M. AF_02/2021</v>
      </c>
      <c r="O30" s="229" t="s">
        <v>241</v>
      </c>
      <c r="P30" s="232">
        <f ca="1">OFFSET(PLQ!$E$12,ROW($P30)-ROW(P$12),0)</f>
        <v>59.15</v>
      </c>
      <c r="Q30" s="228">
        <v>84.26</v>
      </c>
      <c r="R30" s="231" t="s">
        <v>7</v>
      </c>
      <c r="S30" s="121">
        <f ca="1">IF($A30="S",IF($Q$10="Preço Unitário (R$)",PO.CustoUnitario,ROUND(PO.CustoUnitario*(1+$Z30),15-13*$X$6)),0)</f>
        <v>101.62</v>
      </c>
      <c r="T30" s="98">
        <f ca="1">IF($A30="S",VTOTAL1,IF($A30=0,0,ROUND(SomaAgrup,15-13*$X$7)))</f>
        <v>6010.82</v>
      </c>
      <c r="U30" s="13" t="str">
        <f ca="1">IF($J30="","",IF($N30="","DESCRIÇÃO",IF(AND($J30="Serviço",$O30=""),"UNIDADE",IF($T30&lt;=0,"SEM VALOR",IF(AND($Y30&lt;&gt;"",$Q30&gt;$Y30),"ACIMA REF.","")))))</f>
        <v/>
      </c>
      <c r="V30" s="4" t="str">
        <f ca="1">IF(OR($A30=0,$A30="S",$A30&gt;CFF!$A$9),"",MAX(V$12:OFFSET(V30,-1,0))+1)</f>
        <v/>
      </c>
      <c r="W30" s="9" t="str">
        <f>IF(AND($J30="Serviço",$M30&lt;&gt;""),IF($L30="",$M30,CONCATENATE($L30,"-",$M30)))</f>
        <v>Sinapi-93358</v>
      </c>
      <c r="X30" s="4">
        <f ca="1">IF(AND(Fonte&lt;&gt;"",Código&lt;&gt;""),MATCH(Fonte&amp;" "&amp;IF(Fonte="sinapi",SUBSTITUTE(SUBSTITUTE(Código,"/00","/"),"/0","/"),Código),INDIRECT("'[Referência "&amp;_XLNM.DATABASE&amp;".xls]Banco'!$a:$a"),0),"X")</f>
        <v>5618</v>
      </c>
      <c r="Y30" s="121">
        <f ca="1">IF(Import.Desoneracao="sim",Referencia.Desonerado,Referencia.NaoDesonerado)</f>
        <v>84.26</v>
      </c>
      <c r="Z30" s="132">
        <f ca="1">ROUND(IF(ISNUMBER(R30),R30,IF(LEFT(R30,3)="BDI",HLOOKUP(R30,DADOS!$T$37:$X$38,2,FALSE),0)),15-11*$X$5)</f>
        <v>0.206</v>
      </c>
      <c r="AA30" s="4"/>
    </row>
    <row r="31" spans="1:27" ht="26.4">
      <c r="A31" t="str">
        <f>CHOOSE(1+LOG(1+2*(J31="Meta")+4*(J31="Nível 2")+8*(J31="Nível 3")+16*(J31="Nível 4")+32*(J31="Serviço"),2),0,1,2,3,4,"S")</f>
        <v>S</v>
      </c>
      <c r="B31">
        <f>IF(OR(A31="S",A31=0),0,IF(ISERROR(I31),H31,SMALL(H31:I31,1)))</f>
        <v>0</v>
      </c>
      <c r="C31">
        <f ca="1">IF($A31=1,OFFSET(C31,-1,0)+1,OFFSET(C31,-1,0))</f>
        <v>1</v>
      </c>
      <c r="D31">
        <f ca="1">IF($A31=1,0,IF($A31=2,OFFSET(D31,-1,0)+1,OFFSET(D31,-1,0)))</f>
        <v>3</v>
      </c>
      <c r="E31">
        <f ca="1">IF(AND($A31&lt;=2,$A31&lt;&gt;0),0,IF($A31=3,OFFSET(E31,-1,0)+1,OFFSET(E31,-1,0)))</f>
        <v>0</v>
      </c>
      <c r="F31">
        <f ca="1">IF(AND($A31&lt;=3,$A31&lt;&gt;0),0,IF($A31=4,OFFSET(F31,-1,0)+1,OFFSET(F31,-1,0)))</f>
        <v>0</v>
      </c>
      <c r="G31">
        <f ca="1">IF(AND($A31&lt;=4,$A31&lt;&gt;0),0,IF($A31="S",OFFSET(G31,-1,0)+1,OFFSET(G31,-1,0)))</f>
        <v>2</v>
      </c>
      <c r="H31">
        <f ca="1" t="shared" si="7"/>
        <v>0</v>
      </c>
      <c r="I31">
        <f ca="1" t="shared" si="8"/>
        <v>0</v>
      </c>
      <c r="J31" s="120" t="s">
        <v>103</v>
      </c>
      <c r="K31" s="162" t="str">
        <f ca="1">IF($A31=0,"-",CONCATENATE(C31&amp;".",IF(AND($A$5&gt;=2,$A31&gt;=2),D31&amp;".",""),IF(AND($A$5&gt;=3,$A31&gt;=3),E31&amp;".",""),IF(AND($A$5&gt;=4,$A31&gt;=4),F31&amp;".",""),IF($A31="S",G31&amp;".","")))</f>
        <v>1.3.2.</v>
      </c>
      <c r="L31" s="209" t="s">
        <v>228</v>
      </c>
      <c r="M31" s="209" t="s">
        <v>243</v>
      </c>
      <c r="N31" s="230" t="str">
        <f ca="1">IF($A31="S",Referencia.Descricao,"(digite a descrição aqui)")</f>
        <v>PREPARO DE FUNDO DE VALA COM LARGURA MENOR QUE 1,5 M (ACERTO DO SOLO NATURAL). AF_08/2020</v>
      </c>
      <c r="O31" s="229" t="str">
        <f ca="1">Referencia.Unidade</f>
        <v>M2</v>
      </c>
      <c r="P31" s="232">
        <f ca="1">OFFSET(PLQ!$E$12,ROW($P31)-ROW(P$12),0)</f>
        <v>169</v>
      </c>
      <c r="Q31" s="228">
        <v>6.13</v>
      </c>
      <c r="R31" s="231" t="s">
        <v>7</v>
      </c>
      <c r="S31" s="121">
        <f aca="true" t="shared" si="29" ref="S31:S32">IF($A31="S",IF($Q$10="Preço Unitário (R$)",PO.CustoUnitario,ROUND(PO.CustoUnitario*(1+$Z31),15-13*$X$6)),0)</f>
        <v>7.39</v>
      </c>
      <c r="T31" s="98">
        <f aca="true" ca="1" t="shared" si="30" ref="T31:T32">IF($A31="S",VTOTAL1,IF($A31=0,0,ROUND(SomaAgrup,15-13*$X$7)))</f>
        <v>1248.91</v>
      </c>
      <c r="U31" s="13" t="str">
        <f ca="1">IF($J31="","",IF($N31="","DESCRIÇÃO",IF(AND($J31="Serviço",$O31=""),"UNIDADE",IF($T31&lt;=0,"SEM VALOR",IF(AND($Y31&lt;&gt;"",$Q31&gt;$Y31),"ACIMA REF.","")))))</f>
        <v/>
      </c>
      <c r="V31" s="4" t="str">
        <f ca="1">IF(OR($A31=0,$A31="S",$A31&gt;CFF!$A$9),"",MAX(V$12:OFFSET(V31,-1,0))+1)</f>
        <v/>
      </c>
      <c r="W31" s="9" t="str">
        <f>IF(AND($J31="Serviço",$M31&lt;&gt;""),IF($L31="",$M31,CONCATENATE($L31,"-",$M31)))</f>
        <v>Sinapi-101616</v>
      </c>
      <c r="X31" s="4">
        <f aca="true" t="shared" si="31" ref="X31:X32">IF(AND(Fonte&lt;&gt;"",Código&lt;&gt;""),MATCH(Fonte&amp;" "&amp;IF(Fonte="sinapi",SUBSTITUTE(SUBSTITUTE(Código,"/00","/"),"/0","/"),Código),INDIRECT("'[Referência "&amp;_XLNM.DATABASE&amp;".xls]Banco'!$a:$a"),0),"X")</f>
        <v>5727</v>
      </c>
      <c r="Y31" s="121">
        <f ca="1">IF(Import.Desoneracao="sim",Referencia.Desonerado,Referencia.NaoDesonerado)</f>
        <v>6.13</v>
      </c>
      <c r="Z31" s="132">
        <f ca="1">ROUND(IF(ISNUMBER(R31),R31,IF(LEFT(R31,3)="BDI",HLOOKUP(R31,DADOS!$T$37:$X$38,2,FALSE),0)),15-11*$X$5)</f>
        <v>0.206</v>
      </c>
      <c r="AA31" s="4"/>
    </row>
    <row r="32" spans="1:27" ht="26.4">
      <c r="A32" t="str">
        <f aca="true" t="shared" si="32" ref="A32">CHOOSE(1+LOG(1+2*(J32="Meta")+4*(J32="Nível 2")+8*(J32="Nível 3")+16*(J32="Nível 4")+32*(J32="Serviço"),2),0,1,2,3,4,"S")</f>
        <v>S</v>
      </c>
      <c r="B32">
        <f aca="true" t="shared" si="33" ref="B32">IF(OR(A32="S",A32=0),0,IF(ISERROR(I32),H32,SMALL(H32:I32,1)))</f>
        <v>0</v>
      </c>
      <c r="C32">
        <f aca="true" ca="1" t="shared" si="34" ref="C32">IF($A32=1,OFFSET(C32,-1,0)+1,OFFSET(C32,-1,0))</f>
        <v>1</v>
      </c>
      <c r="D32">
        <f aca="true" ca="1" t="shared" si="35" ref="D32">IF($A32=1,0,IF($A32=2,OFFSET(D32,-1,0)+1,OFFSET(D32,-1,0)))</f>
        <v>3</v>
      </c>
      <c r="E32">
        <f aca="true" ca="1" t="shared" si="36" ref="E32">IF(AND($A32&lt;=2,$A32&lt;&gt;0),0,IF($A32=3,OFFSET(E32,-1,0)+1,OFFSET(E32,-1,0)))</f>
        <v>0</v>
      </c>
      <c r="F32">
        <f aca="true" ca="1" t="shared" si="37" ref="F32">IF(AND($A32&lt;=3,$A32&lt;&gt;0),0,IF($A32=4,OFFSET(F32,-1,0)+1,OFFSET(F32,-1,0)))</f>
        <v>0</v>
      </c>
      <c r="G32">
        <f aca="true" ca="1" t="shared" si="38" ref="G32">IF(AND($A32&lt;=4,$A32&lt;&gt;0),0,IF($A32="S",OFFSET(G32,-1,0)+1,OFFSET(G32,-1,0)))</f>
        <v>3</v>
      </c>
      <c r="H32">
        <f ca="1" t="shared" si="7"/>
        <v>0</v>
      </c>
      <c r="I32">
        <f ca="1" t="shared" si="8"/>
        <v>0</v>
      </c>
      <c r="J32" s="120" t="s">
        <v>103</v>
      </c>
      <c r="K32" s="162" t="str">
        <f aca="true" t="shared" si="39" ref="K32">IF($A32=0,"-",CONCATENATE(C32&amp;".",IF(AND($A$5&gt;=2,$A32&gt;=2),D32&amp;".",""),IF(AND($A$5&gt;=3,$A32&gt;=3),E32&amp;".",""),IF(AND($A$5&gt;=4,$A32&gt;=4),F32&amp;".",""),IF($A32="S",G32&amp;".","")))</f>
        <v>1.3.3.</v>
      </c>
      <c r="L32" s="209" t="s">
        <v>228</v>
      </c>
      <c r="M32" s="209" t="s">
        <v>261</v>
      </c>
      <c r="N32" s="230" t="str">
        <f ca="1">IF($A32="S",Referencia.Descricao,"(digite a descrição aqui)")</f>
        <v>LASTRO DE CONCRETO MAGRO, APLICADO EM PISOS, LAJES SOBRE SOLO OU RADIERS, ESPESSURA DE 5 CM. AF_07/2016</v>
      </c>
      <c r="O32" s="229" t="str">
        <f ca="1">Referencia.Unidade</f>
        <v>M2</v>
      </c>
      <c r="P32" s="232">
        <f ca="1">OFFSET(PLQ!$E$12,ROW($P32)-ROW(P$12),0)</f>
        <v>169</v>
      </c>
      <c r="Q32" s="228">
        <v>29.56</v>
      </c>
      <c r="R32" s="231" t="s">
        <v>7</v>
      </c>
      <c r="S32" s="121">
        <f ca="1" t="shared" si="29"/>
        <v>35.65</v>
      </c>
      <c r="T32" s="98">
        <f ca="1" t="shared" si="30"/>
        <v>6024.85</v>
      </c>
      <c r="U32" s="13" t="str">
        <f aca="true" t="shared" si="40" ref="U32">IF($J32="","",IF($N32="","DESCRIÇÃO",IF(AND($J32="Serviço",$O32=""),"UNIDADE",IF($T32&lt;=0,"SEM VALOR",IF(AND($Y32&lt;&gt;"",$Q32&gt;$Y32),"ACIMA REF.","")))))</f>
        <v/>
      </c>
      <c r="V32" s="4" t="str">
        <f ca="1">IF(OR($A32=0,$A32="S",$A32&gt;CFF!$A$9),"",MAX(V$12:OFFSET(V32,-1,0))+1)</f>
        <v/>
      </c>
      <c r="W32" s="9" t="str">
        <f aca="true" t="shared" si="41" ref="W32">IF(AND($J32="Serviço",$M32&lt;&gt;""),IF($L32="",$M32,CONCATENATE($L32,"-",$M32)))</f>
        <v>Sinapi-95241</v>
      </c>
      <c r="X32" s="4">
        <f ca="1" t="shared" si="31"/>
        <v>2174</v>
      </c>
      <c r="Y32" s="121">
        <f ca="1">IF(Import.Desoneracao="sim",Referencia.Desonerado,Referencia.NaoDesonerado)</f>
        <v>29.56</v>
      </c>
      <c r="Z32" s="132">
        <f ca="1">ROUND(IF(ISNUMBER(R32),R32,IF(LEFT(R32,3)="BDI",HLOOKUP(R32,DADOS!$T$37:$X$38,2,FALSE),0)),15-11*$X$5)</f>
        <v>0.206</v>
      </c>
      <c r="AA32" s="4"/>
    </row>
    <row r="33" spans="1:27" ht="26.4">
      <c r="A33" t="str">
        <f>CHOOSE(1+LOG(1+2*(J33="Meta")+4*(J33="Nível 2")+8*(J33="Nível 3")+16*(J33="Nível 4")+32*(J33="Serviço"),2),0,1,2,3,4,"S")</f>
        <v>S</v>
      </c>
      <c r="B33">
        <f>IF(OR(A33="S",A33=0),0,IF(ISERROR(I33),H33,SMALL(H33:I33,1)))</f>
        <v>0</v>
      </c>
      <c r="C33">
        <f ca="1">IF($A33=1,OFFSET(C33,-1,0)+1,OFFSET(C33,-1,0))</f>
        <v>1</v>
      </c>
      <c r="D33">
        <f ca="1">IF($A33=1,0,IF($A33=2,OFFSET(D33,-1,0)+1,OFFSET(D33,-1,0)))</f>
        <v>3</v>
      </c>
      <c r="E33">
        <f ca="1">IF(AND($A33&lt;=2,$A33&lt;&gt;0),0,IF($A33=3,OFFSET(E33,-1,0)+1,OFFSET(E33,-1,0)))</f>
        <v>0</v>
      </c>
      <c r="F33">
        <f ca="1">IF(AND($A33&lt;=3,$A33&lt;&gt;0),0,IF($A33=4,OFFSET(F33,-1,0)+1,OFFSET(F33,-1,0)))</f>
        <v>0</v>
      </c>
      <c r="G33">
        <f ca="1">IF(AND($A33&lt;=4,$A33&lt;&gt;0),0,IF($A33="S",OFFSET(G33,-1,0)+1,OFFSET(G33,-1,0)))</f>
        <v>4</v>
      </c>
      <c r="H33">
        <f ca="1" t="shared" si="7"/>
        <v>0</v>
      </c>
      <c r="I33">
        <f ca="1" t="shared" si="8"/>
        <v>0</v>
      </c>
      <c r="J33" s="120" t="s">
        <v>103</v>
      </c>
      <c r="K33" s="162" t="str">
        <f ca="1">IF($A33=0,"-",CONCATENATE(C33&amp;".",IF(AND($A$5&gt;=2,$A33&gt;=2),D33&amp;".",""),IF(AND($A$5&gt;=3,$A33&gt;=3),E33&amp;".",""),IF(AND($A$5&gt;=4,$A33&gt;=4),F33&amp;".",""),IF($A33="S",G33&amp;".","")))</f>
        <v>1.3.4.</v>
      </c>
      <c r="L33" s="209" t="s">
        <v>240</v>
      </c>
      <c r="M33" s="209" t="s">
        <v>234</v>
      </c>
      <c r="N33" s="230" t="str">
        <f ca="1">IF($A33="S",Referencia.Descricao,"(digite a descrição aqui)")</f>
        <v>Alvenaria de tijolos maciços 5x10x20cm (1 vez, para alicerce), assentados com argamassa traço 1:2:8 (cimento, cal e areia)</v>
      </c>
      <c r="O33" s="229" t="str">
        <f ca="1">Referencia.Unidade</f>
        <v>M²</v>
      </c>
      <c r="P33" s="232">
        <f ca="1">OFFSET(PLQ!$E$12,ROW($P33)-ROW(P$12),0)</f>
        <v>506.61</v>
      </c>
      <c r="Q33" s="228">
        <v>112.59</v>
      </c>
      <c r="R33" s="231" t="s">
        <v>7</v>
      </c>
      <c r="S33" s="121">
        <f ca="1">IF($A33="S",IF($Q$10="Preço Unitário (R$)",PO.CustoUnitario,ROUND(PO.CustoUnitario*(1+$Z33),15-13*$X$6)),0)</f>
        <v>135.78</v>
      </c>
      <c r="T33" s="98">
        <f ca="1">IF($A33="S",VTOTAL1,IF($A33=0,0,ROUND(SomaAgrup,15-13*$X$7)))</f>
        <v>68787.51</v>
      </c>
      <c r="U33" s="13" t="str">
        <f ca="1">IF($J33="","",IF($N33="","DESCRIÇÃO",IF(AND($J33="Serviço",$O33=""),"UNIDADE",IF($T33&lt;=0,"SEM VALOR",IF(AND($Y33&lt;&gt;"",$Q33&gt;$Y33),"ACIMA REF.","")))))</f>
        <v/>
      </c>
      <c r="V33" s="4" t="str">
        <f ca="1">IF(OR($A33=0,$A33="S",$A33&gt;CFF!$A$9),"",MAX(V$12:OFFSET(V33,-1,0))+1)</f>
        <v/>
      </c>
      <c r="W33" s="9" t="str">
        <f>IF(AND($J33="Serviço",$M33&lt;&gt;""),IF($L33="",$M33,CONCATENATE($L33,"-",$M33)))</f>
        <v>COMPOSIÇÃO-02</v>
      </c>
      <c r="X33" s="4">
        <f ca="1">IF(AND(Fonte&lt;&gt;"",Código&lt;&gt;""),MATCH(Fonte&amp;" "&amp;IF(Fonte="sinapi",SUBSTITUTE(SUBSTITUTE(Código,"/00","/"),"/0","/"),Código),INDIRECT("'[Referência "&amp;_XLNM.DATABASE&amp;".xls]Banco'!$a:$a"),0),"X")</f>
        <v>8</v>
      </c>
      <c r="Y33" s="121">
        <f ca="1">IF(Import.Desoneracao="sim",Referencia.Desonerado,Referencia.NaoDesonerado)</f>
        <v>112.59</v>
      </c>
      <c r="Z33" s="132">
        <f ca="1">ROUND(IF(ISNUMBER(R33),R33,IF(LEFT(R33,3)="BDI",HLOOKUP(R33,DADOS!$T$37:$X$38,2,FALSE),0)),15-11*$X$5)</f>
        <v>0.206</v>
      </c>
      <c r="AA33" s="4"/>
    </row>
    <row r="34" spans="1:27" ht="39.6">
      <c r="A34" t="str">
        <f aca="true" t="shared" si="42" ref="A34:A35">CHOOSE(1+LOG(1+2*(J34="Meta")+4*(J34="Nível 2")+8*(J34="Nível 3")+16*(J34="Nível 4")+32*(J34="Serviço"),2),0,1,2,3,4,"S")</f>
        <v>S</v>
      </c>
      <c r="B34">
        <f aca="true" t="shared" si="43" ref="B34:B35">IF(OR(A34="S",A34=0),0,IF(ISERROR(I34),H34,SMALL(H34:I34,1)))</f>
        <v>0</v>
      </c>
      <c r="C34">
        <f aca="true" ca="1" t="shared" si="44" ref="C34:C35">IF($A34=1,OFFSET(C34,-1,0)+1,OFFSET(C34,-1,0))</f>
        <v>1</v>
      </c>
      <c r="D34">
        <f aca="true" ca="1" t="shared" si="45" ref="D34:D35">IF($A34=1,0,IF($A34=2,OFFSET(D34,-1,0)+1,OFFSET(D34,-1,0)))</f>
        <v>3</v>
      </c>
      <c r="E34">
        <f aca="true" ca="1" t="shared" si="46" ref="E34:E35">IF(AND($A34&lt;=2,$A34&lt;&gt;0),0,IF($A34=3,OFFSET(E34,-1,0)+1,OFFSET(E34,-1,0)))</f>
        <v>0</v>
      </c>
      <c r="F34">
        <f aca="true" ca="1" t="shared" si="47" ref="F34:F35">IF(AND($A34&lt;=3,$A34&lt;&gt;0),0,IF($A34=4,OFFSET(F34,-1,0)+1,OFFSET(F34,-1,0)))</f>
        <v>0</v>
      </c>
      <c r="G34">
        <f aca="true" ca="1" t="shared" si="48" ref="G34:G35">IF(AND($A34&lt;=4,$A34&lt;&gt;0),0,IF($A34="S",OFFSET(G34,-1,0)+1,OFFSET(G34,-1,0)))</f>
        <v>5</v>
      </c>
      <c r="H34">
        <f ca="1" t="shared" si="7"/>
        <v>0</v>
      </c>
      <c r="I34">
        <f ca="1" t="shared" si="8"/>
        <v>0</v>
      </c>
      <c r="J34" s="120" t="s">
        <v>103</v>
      </c>
      <c r="K34" s="162" t="str">
        <f aca="true" t="shared" si="49" ref="K34:K35">IF($A34=0,"-",CONCATENATE(C34&amp;".",IF(AND($A$5&gt;=2,$A34&gt;=2),D34&amp;".",""),IF(AND($A$5&gt;=3,$A34&gt;=3),E34&amp;".",""),IF(AND($A$5&gt;=4,$A34&gt;=4),F34&amp;".",""),IF($A34="S",G34&amp;".","")))</f>
        <v>1.3.5.</v>
      </c>
      <c r="L34" s="209" t="s">
        <v>228</v>
      </c>
      <c r="M34" s="209" t="s">
        <v>263</v>
      </c>
      <c r="N34" s="230" t="str">
        <f ca="1">IF($A34="S",Referencia.Descricao,"(digite a descrição aqui)")</f>
        <v>CHAPISCO APLICADO EM ALVENARIA (SEM PRESENÇA DE VÃOS) E ESTRUTURAS DE CONCRETO DE FACHADA, COM COLHER DE PEDREIRO.  ARGAMASSA TRAÇO 1:3 COM PREPARO EM BETONEIRA 400L. AF_10/2022</v>
      </c>
      <c r="O34" s="229" t="str">
        <f ca="1">Referencia.Unidade</f>
        <v>M2</v>
      </c>
      <c r="P34" s="232">
        <f ca="1">OFFSET(PLQ!$E$12,ROW($P34)-ROW(P$12),0)</f>
        <v>253.37</v>
      </c>
      <c r="Q34" s="228">
        <v>6.6</v>
      </c>
      <c r="R34" s="231" t="s">
        <v>7</v>
      </c>
      <c r="S34" s="121">
        <f ca="1">IF($A34="S",IF($Q$10="Preço Unitário (R$)",PO.CustoUnitario,ROUND(PO.CustoUnitario*(1+$Z34),15-13*$X$6)),0)</f>
        <v>7.96</v>
      </c>
      <c r="T34" s="98">
        <f ca="1">IF($A34="S",VTOTAL1,IF($A34=0,0,ROUND(SomaAgrup,15-13*$X$7)))</f>
        <v>2016.83</v>
      </c>
      <c r="U34" s="13" t="str">
        <f aca="true" t="shared" si="50" ref="U34:U35">IF($J34="","",IF($N34="","DESCRIÇÃO",IF(AND($J34="Serviço",$O34=""),"UNIDADE",IF($T34&lt;=0,"SEM VALOR",IF(AND($Y34&lt;&gt;"",$Q34&gt;$Y34),"ACIMA REF.","")))))</f>
        <v/>
      </c>
      <c r="V34" s="4" t="str">
        <f ca="1">IF(OR($A34=0,$A34="S",$A34&gt;CFF!$A$9),"",MAX(V$12:OFFSET(V34,-1,0))+1)</f>
        <v/>
      </c>
      <c r="W34" s="9" t="str">
        <f aca="true" t="shared" si="51" ref="W34:W35">IF(AND($J34="Serviço",$M34&lt;&gt;""),IF($L34="",$M34,CONCATENATE($L34,"-",$M34)))</f>
        <v>Sinapi-87894</v>
      </c>
      <c r="X34" s="4">
        <f ca="1">IF(AND(Fonte&lt;&gt;"",Código&lt;&gt;""),MATCH(Fonte&amp;" "&amp;IF(Fonte="sinapi",SUBSTITUTE(SUBSTITUTE(Código,"/00","/"),"/0","/"),Código),INDIRECT("'[Referência "&amp;_XLNM.DATABASE&amp;".xls]Banco'!$a:$a"),0),"X")</f>
        <v>6265</v>
      </c>
      <c r="Y34" s="121">
        <f ca="1">IF(Import.Desoneracao="sim",Referencia.Desonerado,Referencia.NaoDesonerado)</f>
        <v>6.6</v>
      </c>
      <c r="Z34" s="132">
        <f ca="1">ROUND(IF(ISNUMBER(R34),R34,IF(LEFT(R34,3)="BDI",HLOOKUP(R34,DADOS!$T$37:$X$38,2,FALSE),0)),15-11*$X$5)</f>
        <v>0.206</v>
      </c>
      <c r="AA34" s="4"/>
    </row>
    <row r="35" spans="1:27" ht="39.6">
      <c r="A35" t="str">
        <f t="shared" si="42"/>
        <v>S</v>
      </c>
      <c r="B35">
        <f t="shared" si="43"/>
        <v>0</v>
      </c>
      <c r="C35">
        <f ca="1" t="shared" si="44"/>
        <v>1</v>
      </c>
      <c r="D35">
        <f ca="1" t="shared" si="45"/>
        <v>3</v>
      </c>
      <c r="E35">
        <f ca="1" t="shared" si="46"/>
        <v>0</v>
      </c>
      <c r="F35">
        <f ca="1" t="shared" si="47"/>
        <v>0</v>
      </c>
      <c r="G35">
        <f ca="1" t="shared" si="48"/>
        <v>6</v>
      </c>
      <c r="H35">
        <f ca="1" t="shared" si="7"/>
        <v>0</v>
      </c>
      <c r="I35">
        <f ca="1" t="shared" si="8"/>
        <v>0</v>
      </c>
      <c r="J35" s="120" t="s">
        <v>103</v>
      </c>
      <c r="K35" s="162" t="str">
        <f ca="1" t="shared" si="49"/>
        <v>1.3.6.</v>
      </c>
      <c r="L35" s="209" t="s">
        <v>228</v>
      </c>
      <c r="M35" s="209" t="s">
        <v>264</v>
      </c>
      <c r="N35" s="230" t="str">
        <f ca="1">IF($A35="S",Referencia.Descricao,"(digite a descrição aqui)")</f>
        <v>EMBOÇO OU MASSA ÚNICA EM ARGAMASSA TRAÇO 1:2:8, PREPARO MECÂNICO COM BETONEIRA 400 L, APLICADA MANUALMENTE EM PANOS CEGOS DE FACHADA (SEM PRESENÇA DE VÃOS), ESPESSURA DE 25 MM. AF_08/2022</v>
      </c>
      <c r="O35" s="229" t="str">
        <f ca="1">Referencia.Unidade</f>
        <v>M2</v>
      </c>
      <c r="P35" s="232">
        <f ca="1">OFFSET(PLQ!$E$12,ROW($P35)-ROW(P$12),0)</f>
        <v>253.37</v>
      </c>
      <c r="Q35" s="228">
        <v>37.5</v>
      </c>
      <c r="R35" s="231" t="s">
        <v>7</v>
      </c>
      <c r="S35" s="121">
        <f ca="1">IF($A35="S",IF($Q$10="Preço Unitário (R$)",PO.CustoUnitario,ROUND(PO.CustoUnitario*(1+$Z35),15-13*$X$6)),0)</f>
        <v>45.23</v>
      </c>
      <c r="T35" s="98">
        <f ca="1">IF($A35="S",VTOTAL1,IF($A35=0,0,ROUND(SomaAgrup,15-13*$X$7)))</f>
        <v>11459.93</v>
      </c>
      <c r="U35" s="13" t="str">
        <f ca="1" t="shared" si="50"/>
        <v/>
      </c>
      <c r="V35" s="4" t="str">
        <f ca="1">IF(OR($A35=0,$A35="S",$A35&gt;CFF!$A$9),"",MAX(V$12:OFFSET(V35,-1,0))+1)</f>
        <v/>
      </c>
      <c r="W35" s="9" t="str">
        <f t="shared" si="51"/>
        <v>Sinapi-87792</v>
      </c>
      <c r="X35" s="4">
        <f ca="1">IF(AND(Fonte&lt;&gt;"",Código&lt;&gt;""),MATCH(Fonte&amp;" "&amp;IF(Fonte="sinapi",SUBSTITUTE(SUBSTITUTE(Código,"/00","/"),"/0","/"),Código),INDIRECT("'[Referência "&amp;_XLNM.DATABASE&amp;".xls]Banco'!$a:$a"),0),"X")</f>
        <v>6332</v>
      </c>
      <c r="Y35" s="121">
        <f ca="1">IF(Import.Desoneracao="sim",Referencia.Desonerado,Referencia.NaoDesonerado)</f>
        <v>37.5</v>
      </c>
      <c r="Z35" s="132">
        <f ca="1">ROUND(IF(ISNUMBER(R35),R35,IF(LEFT(R35,3)="BDI",HLOOKUP(R35,DADOS!$T$37:$X$38,2,FALSE),0)),15-11*$X$5)</f>
        <v>0.206</v>
      </c>
      <c r="AA35" s="4"/>
    </row>
    <row r="36" spans="1:27" ht="12.75">
      <c r="A36">
        <f t="shared" si="0"/>
        <v>2</v>
      </c>
      <c r="B36">
        <f ca="1" t="shared" si="1"/>
        <v>6</v>
      </c>
      <c r="C36">
        <f ca="1" t="shared" si="2"/>
        <v>1</v>
      </c>
      <c r="D36">
        <f ca="1" t="shared" si="3"/>
        <v>4</v>
      </c>
      <c r="E36">
        <f ca="1" t="shared" si="4"/>
        <v>0</v>
      </c>
      <c r="F36">
        <f ca="1" t="shared" si="5"/>
        <v>0</v>
      </c>
      <c r="G36">
        <f ca="1" t="shared" si="6"/>
        <v>0</v>
      </c>
      <c r="H36">
        <f ca="1" t="shared" si="7"/>
        <v>138</v>
      </c>
      <c r="I36">
        <f ca="1" t="shared" si="8"/>
        <v>6</v>
      </c>
      <c r="J36" s="120" t="s">
        <v>100</v>
      </c>
      <c r="K36" s="162" t="str">
        <f ca="1" t="shared" si="9"/>
        <v>1.4.</v>
      </c>
      <c r="L36" s="209"/>
      <c r="M36" s="209"/>
      <c r="N36" s="230" t="s">
        <v>323</v>
      </c>
      <c r="O36" s="229" t="str">
        <f ca="1">Referencia.Unidade</f>
        <v/>
      </c>
      <c r="P36" s="232">
        <f ca="1">OFFSET(PLQ!$E$12,ROW($P36)-ROW(P$12),0)</f>
        <v>0</v>
      </c>
      <c r="Q36" s="228"/>
      <c r="R36" s="231" t="s">
        <v>7</v>
      </c>
      <c r="S36" s="121">
        <f t="shared" si="10"/>
        <v>0</v>
      </c>
      <c r="T36" s="98">
        <f ca="1" t="shared" si="11"/>
        <v>154003.93</v>
      </c>
      <c r="U36" s="13" t="str">
        <f ca="1" t="shared" si="12"/>
        <v/>
      </c>
      <c r="V36" s="4">
        <f ca="1">IF(OR($A36=0,$A36="S",$A36&gt;CFF!$A$9),"",MAX(V$12:OFFSET(V36,-1,0))+1)</f>
        <v>5</v>
      </c>
      <c r="W36" s="9" t="b">
        <f t="shared" si="13"/>
        <v>0</v>
      </c>
      <c r="X36" s="4" t="str">
        <f ca="1" t="shared" si="14"/>
        <v>X</v>
      </c>
      <c r="Y36" s="121">
        <f ca="1" t="shared" si="15"/>
        <v>0</v>
      </c>
      <c r="Z36" s="132">
        <f ca="1">ROUND(IF(ISNUMBER(R36),R36,IF(LEFT(R36,3)="BDI",HLOOKUP(R36,DADOS!$T$37:$X$38,2,FALSE),0)),15-11*$X$5)</f>
        <v>0.206</v>
      </c>
      <c r="AA36" s="4"/>
    </row>
    <row r="37" spans="1:27" ht="26.4">
      <c r="A37" t="str">
        <f t="shared" si="0"/>
        <v>S</v>
      </c>
      <c r="B37">
        <f t="shared" si="1"/>
        <v>0</v>
      </c>
      <c r="C37">
        <f ca="1" t="shared" si="2"/>
        <v>1</v>
      </c>
      <c r="D37">
        <f ca="1" t="shared" si="3"/>
        <v>4</v>
      </c>
      <c r="E37">
        <f ca="1" t="shared" si="4"/>
        <v>0</v>
      </c>
      <c r="F37">
        <f ca="1" t="shared" si="5"/>
        <v>0</v>
      </c>
      <c r="G37">
        <f ca="1" t="shared" si="6"/>
        <v>1</v>
      </c>
      <c r="H37">
        <f ca="1" t="shared" si="7"/>
        <v>0</v>
      </c>
      <c r="I37">
        <f ca="1" t="shared" si="8"/>
        <v>0</v>
      </c>
      <c r="J37" s="120" t="s">
        <v>103</v>
      </c>
      <c r="K37" s="162" t="str">
        <f ca="1" t="shared" si="9"/>
        <v>1.4.1.</v>
      </c>
      <c r="L37" s="209" t="s">
        <v>231</v>
      </c>
      <c r="M37" s="209" t="s">
        <v>265</v>
      </c>
      <c r="N37" s="230" t="str">
        <f ca="1">IF($A37="S",Referencia.Descricao,"(digite a descrição aqui)")</f>
        <v>FABRICAÇÃO, MONTAGEM E DESMONTAGEM DE FÔRMA PARA VIGA BALDRAME, EM MADEIRA SERRADA, E=25 MM, 4 UTILIZAÇÕES. AF_06/2017</v>
      </c>
      <c r="O37" s="229" t="str">
        <f ca="1">Referencia.Unidade</f>
        <v>M2</v>
      </c>
      <c r="P37" s="232">
        <f ca="1">OFFSET(PLQ!$E$12,ROW($P37)-ROW(P$12),0)</f>
        <v>506.61</v>
      </c>
      <c r="Q37" s="228">
        <v>63.71</v>
      </c>
      <c r="R37" s="231" t="s">
        <v>7</v>
      </c>
      <c r="S37" s="121">
        <f ca="1" t="shared" si="10"/>
        <v>76.83</v>
      </c>
      <c r="T37" s="98">
        <f ca="1" t="shared" si="11"/>
        <v>38922.85</v>
      </c>
      <c r="U37" s="13" t="str">
        <f ca="1" t="shared" si="12"/>
        <v/>
      </c>
      <c r="V37" s="4" t="str">
        <f ca="1">IF(OR($A37=0,$A37="S",$A37&gt;CFF!$A$9),"",MAX(V$12:OFFSET(V37,-1,0))+1)</f>
        <v/>
      </c>
      <c r="W37" s="9" t="str">
        <f t="shared" si="13"/>
        <v>sinapi-96536</v>
      </c>
      <c r="X37" s="4">
        <f ca="1" t="shared" si="14"/>
        <v>2316</v>
      </c>
      <c r="Y37" s="121">
        <f ca="1" t="shared" si="15"/>
        <v>63.71</v>
      </c>
      <c r="Z37" s="132">
        <f ca="1">ROUND(IF(ISNUMBER(R37),R37,IF(LEFT(R37,3)="BDI",HLOOKUP(R37,DADOS!$T$37:$X$38,2,FALSE),0)),15-11*$X$5)</f>
        <v>0.206</v>
      </c>
      <c r="AA37" s="4"/>
    </row>
    <row r="38" spans="1:27" ht="26.4">
      <c r="A38" t="str">
        <f t="shared" si="0"/>
        <v>S</v>
      </c>
      <c r="B38">
        <f t="shared" si="1"/>
        <v>0</v>
      </c>
      <c r="C38">
        <f ca="1" t="shared" si="2"/>
        <v>1</v>
      </c>
      <c r="D38">
        <f ca="1" t="shared" si="3"/>
        <v>4</v>
      </c>
      <c r="E38">
        <f ca="1" t="shared" si="4"/>
        <v>0</v>
      </c>
      <c r="F38">
        <f ca="1" t="shared" si="5"/>
        <v>0</v>
      </c>
      <c r="G38">
        <f ca="1" t="shared" si="6"/>
        <v>2</v>
      </c>
      <c r="H38">
        <f ca="1" t="shared" si="7"/>
        <v>0</v>
      </c>
      <c r="I38">
        <f ca="1" t="shared" si="8"/>
        <v>0</v>
      </c>
      <c r="J38" s="120" t="s">
        <v>103</v>
      </c>
      <c r="K38" s="162" t="str">
        <f ca="1" t="shared" si="9"/>
        <v>1.4.2.</v>
      </c>
      <c r="L38" s="209" t="s">
        <v>228</v>
      </c>
      <c r="M38" s="209" t="s">
        <v>259</v>
      </c>
      <c r="N38" s="230" t="str">
        <f ca="1">IF($A38="S",Referencia.Descricao,"(digite a descrição aqui)")</f>
        <v>ARMAÇÃO DE PILAR OU VIGA DE ESTRUTURA CONVENCIONAL DE CONCRETO ARMADO UTILIZANDO AÇO CA-50 DE 10,0 MM - MONTAGEM. AF_06/2022</v>
      </c>
      <c r="O38" s="229" t="str">
        <f ca="1">Referencia.Unidade</f>
        <v>KG</v>
      </c>
      <c r="P38" s="232">
        <f ca="1">OFFSET(PLQ!$E$12,ROW($P38)-ROW(P$12),0)</f>
        <v>2082.73</v>
      </c>
      <c r="Q38" s="228">
        <v>11.85</v>
      </c>
      <c r="R38" s="231" t="s">
        <v>7</v>
      </c>
      <c r="S38" s="121">
        <f ca="1" t="shared" si="10"/>
        <v>14.29</v>
      </c>
      <c r="T38" s="98">
        <f ca="1" t="shared" si="11"/>
        <v>29762.21</v>
      </c>
      <c r="U38" s="13" t="str">
        <f ca="1" t="shared" si="12"/>
        <v/>
      </c>
      <c r="V38" s="4" t="str">
        <f ca="1">IF(OR($A38=0,$A38="S",$A38&gt;CFF!$A$9),"",MAX(V$12:OFFSET(V38,-1,0))+1)</f>
        <v/>
      </c>
      <c r="W38" s="9" t="str">
        <f t="shared" si="13"/>
        <v>Sinapi-92762</v>
      </c>
      <c r="X38" s="4">
        <f ca="1" t="shared" si="14"/>
        <v>2439</v>
      </c>
      <c r="Y38" s="121">
        <f ca="1" t="shared" si="15"/>
        <v>11.85</v>
      </c>
      <c r="Z38" s="132">
        <f ca="1">ROUND(IF(ISNUMBER(R38),R38,IF(LEFT(R38,3)="BDI",HLOOKUP(R38,DADOS!$T$37:$X$38,2,FALSE),0)),15-11*$X$5)</f>
        <v>0.206</v>
      </c>
      <c r="AA38" s="4"/>
    </row>
    <row r="39" spans="1:27" ht="26.4">
      <c r="A39" t="str">
        <f>CHOOSE(1+LOG(1+2*(J39="Meta")+4*(J39="Nível 2")+8*(J39="Nível 3")+16*(J39="Nível 4")+32*(J39="Serviço"),2),0,1,2,3,4,"S")</f>
        <v>S</v>
      </c>
      <c r="B39">
        <f>IF(OR(A39="S",A39=0),0,IF(ISERROR(I39),H39,SMALL(H39:I39,1)))</f>
        <v>0</v>
      </c>
      <c r="C39">
        <f ca="1">IF($A39=1,OFFSET(C39,-1,0)+1,OFFSET(C39,-1,0))</f>
        <v>1</v>
      </c>
      <c r="D39">
        <f ca="1">IF($A39=1,0,IF($A39=2,OFFSET(D39,-1,0)+1,OFFSET(D39,-1,0)))</f>
        <v>4</v>
      </c>
      <c r="E39">
        <f ca="1">IF(AND($A39&lt;=2,$A39&lt;&gt;0),0,IF($A39=3,OFFSET(E39,-1,0)+1,OFFSET(E39,-1,0)))</f>
        <v>0</v>
      </c>
      <c r="F39">
        <f ca="1">IF(AND($A39&lt;=3,$A39&lt;&gt;0),0,IF($A39=4,OFFSET(F39,-1,0)+1,OFFSET(F39,-1,0)))</f>
        <v>0</v>
      </c>
      <c r="G39">
        <f ca="1">IF(AND($A39&lt;=4,$A39&lt;&gt;0),0,IF($A39="S",OFFSET(G39,-1,0)+1,OFFSET(G39,-1,0)))</f>
        <v>3</v>
      </c>
      <c r="H39">
        <f ca="1" t="shared" si="7"/>
        <v>0</v>
      </c>
      <c r="I39">
        <f ca="1" t="shared" si="8"/>
        <v>0</v>
      </c>
      <c r="J39" s="120" t="s">
        <v>103</v>
      </c>
      <c r="K39" s="162" t="str">
        <f ca="1">IF($A39=0,"-",CONCATENATE(C39&amp;".",IF(AND($A$5&gt;=2,$A39&gt;=2),D39&amp;".",""),IF(AND($A$5&gt;=3,$A39&gt;=3),E39&amp;".",""),IF(AND($A$5&gt;=4,$A39&gt;=4),F39&amp;".",""),IF($A39="S",G39&amp;".","")))</f>
        <v>1.4.3.</v>
      </c>
      <c r="L39" s="209" t="s">
        <v>228</v>
      </c>
      <c r="M39" s="209" t="s">
        <v>269</v>
      </c>
      <c r="N39" s="230" t="str">
        <f ca="1">IF($A39="S",Referencia.Descricao,"(digite a descrição aqui)")</f>
        <v>ARMAÇÃO DE PILAR OU VIGA DE ESTRUTURA CONVENCIONAL DE CONCRETO ARMADO UTILIZANDO AÇO CA-60 DE 5,0 MM - MONTAGEM. AF_06/2022</v>
      </c>
      <c r="O39" s="229" t="str">
        <f ca="1">Referencia.Unidade</f>
        <v>KG</v>
      </c>
      <c r="P39" s="232">
        <f ca="1">OFFSET(PLQ!$E$12,ROW($P39)-ROW(P$12),0)</f>
        <v>449.67</v>
      </c>
      <c r="Q39" s="228">
        <v>14.49</v>
      </c>
      <c r="R39" s="231" t="s">
        <v>7</v>
      </c>
      <c r="S39" s="121">
        <f aca="true" t="shared" si="52" ref="S39">IF($A39="S",IF($Q$10="Preço Unitário (R$)",PO.CustoUnitario,ROUND(PO.CustoUnitario*(1+$Z39),15-13*$X$6)),0)</f>
        <v>17.47</v>
      </c>
      <c r="T39" s="98">
        <f aca="true" ca="1" t="shared" si="53" ref="T39">IF($A39="S",VTOTAL1,IF($A39=0,0,ROUND(SomaAgrup,15-13*$X$7)))</f>
        <v>7855.73</v>
      </c>
      <c r="U39" s="13" t="str">
        <f ca="1">IF($J39="","",IF($N39="","DESCRIÇÃO",IF(AND($J39="Serviço",$O39=""),"UNIDADE",IF($T39&lt;=0,"SEM VALOR",IF(AND($Y39&lt;&gt;"",$Q39&gt;$Y39),"ACIMA REF.","")))))</f>
        <v/>
      </c>
      <c r="V39" s="4" t="str">
        <f ca="1">IF(OR($A39=0,$A39="S",$A39&gt;CFF!$A$9),"",MAX(V$12:OFFSET(V39,-1,0))+1)</f>
        <v/>
      </c>
      <c r="W39" s="9" t="str">
        <f>IF(AND($J39="Serviço",$M39&lt;&gt;""),IF($L39="",$M39,CONCATENATE($L39,"-",$M39)))</f>
        <v>Sinapi-92759</v>
      </c>
      <c r="X39" s="4">
        <f aca="true" t="shared" si="54" ref="X39">IF(AND(Fonte&lt;&gt;"",Código&lt;&gt;""),MATCH(Fonte&amp;" "&amp;IF(Fonte="sinapi",SUBSTITUTE(SUBSTITUTE(Código,"/00","/"),"/0","/"),Código),INDIRECT("'[Referência "&amp;_XLNM.DATABASE&amp;".xls]Banco'!$a:$a"),0),"X")</f>
        <v>2436</v>
      </c>
      <c r="Y39" s="121">
        <f ca="1">IF(Import.Desoneracao="sim",Referencia.Desonerado,Referencia.NaoDesonerado)</f>
        <v>14.49</v>
      </c>
      <c r="Z39" s="132">
        <f ca="1">ROUND(IF(ISNUMBER(R39),R39,IF(LEFT(R39,3)="BDI",HLOOKUP(R39,DADOS!$T$37:$X$38,2,FALSE),0)),15-11*$X$5)</f>
        <v>0.206</v>
      </c>
      <c r="AA39" s="4"/>
    </row>
    <row r="40" spans="1:27" ht="26.4">
      <c r="A40" t="str">
        <f>CHOOSE(1+LOG(1+2*(J40="Meta")+4*(J40="Nível 2")+8*(J40="Nível 3")+16*(J40="Nível 4")+32*(J40="Serviço"),2),0,1,2,3,4,"S")</f>
        <v>S</v>
      </c>
      <c r="B40">
        <f>IF(OR(A40="S",A40=0),0,IF(ISERROR(I40),H40,SMALL(H40:I40,1)))</f>
        <v>0</v>
      </c>
      <c r="C40">
        <f ca="1">IF($A40=1,OFFSET(C40,-1,0)+1,OFFSET(C40,-1,0))</f>
        <v>1</v>
      </c>
      <c r="D40">
        <f ca="1">IF($A40=1,0,IF($A40=2,OFFSET(D40,-1,0)+1,OFFSET(D40,-1,0)))</f>
        <v>4</v>
      </c>
      <c r="E40">
        <f ca="1">IF(AND($A40&lt;=2,$A40&lt;&gt;0),0,IF($A40=3,OFFSET(E40,-1,0)+1,OFFSET(E40,-1,0)))</f>
        <v>0</v>
      </c>
      <c r="F40">
        <f ca="1">IF(AND($A40&lt;=3,$A40&lt;&gt;0),0,IF($A40=4,OFFSET(F40,-1,0)+1,OFFSET(F40,-1,0)))</f>
        <v>0</v>
      </c>
      <c r="G40">
        <f ca="1">IF(AND($A40&lt;=4,$A40&lt;&gt;0),0,IF($A40="S",OFFSET(G40,-1,0)+1,OFFSET(G40,-1,0)))</f>
        <v>4</v>
      </c>
      <c r="H40">
        <f ca="1" t="shared" si="7"/>
        <v>0</v>
      </c>
      <c r="I40">
        <f ca="1" t="shared" si="8"/>
        <v>0</v>
      </c>
      <c r="J40" s="120" t="s">
        <v>103</v>
      </c>
      <c r="K40" s="162" t="str">
        <f ca="1">IF($A40=0,"-",CONCATENATE(C40&amp;".",IF(AND($A$5&gt;=2,$A40&gt;=2),D40&amp;".",""),IF(AND($A$5&gt;=3,$A40&gt;=3),E40&amp;".",""),IF(AND($A$5&gt;=4,$A40&gt;=4),F40&amp;".",""),IF($A40="S",G40&amp;".","")))</f>
        <v>1.4.4.</v>
      </c>
      <c r="L40" s="209" t="s">
        <v>228</v>
      </c>
      <c r="M40" s="209" t="s">
        <v>266</v>
      </c>
      <c r="N40" s="230" t="str">
        <f ca="1">IF($A40="S",Referencia.Descricao,"(digite a descrição aqui)")</f>
        <v>CONCRETAGEM DE BLOCOS DE COROAMENTO E VIGAS BALDRAMES, FCK 30 MPA, COM USO DE BOMBA  LANÇAMENTO, ADENSAMENTO E ACABAMENTO. AF_06/2017</v>
      </c>
      <c r="O40" s="229" t="str">
        <f ca="1">Referencia.Unidade</f>
        <v>M3</v>
      </c>
      <c r="P40" s="232">
        <f ca="1">OFFSET(PLQ!$E$12,ROW($P40)-ROW(P$12),0)</f>
        <v>50.7</v>
      </c>
      <c r="Q40" s="228">
        <v>639.01</v>
      </c>
      <c r="R40" s="231" t="s">
        <v>7</v>
      </c>
      <c r="S40" s="121">
        <f aca="true" t="shared" si="55" ref="S40:S119">IF($A40="S",IF($Q$10="Preço Unitário (R$)",PO.CustoUnitario,ROUND(PO.CustoUnitario*(1+$Z40),15-13*$X$6)),0)</f>
        <v>770.65</v>
      </c>
      <c r="T40" s="98">
        <f aca="true" ca="1" t="shared" si="56" ref="T40:T119">IF($A40="S",VTOTAL1,IF($A40=0,0,ROUND(SomaAgrup,15-13*$X$7)))</f>
        <v>39071.96</v>
      </c>
      <c r="U40" s="13" t="str">
        <f ca="1">IF($J40="","",IF($N40="","DESCRIÇÃO",IF(AND($J40="Serviço",$O40=""),"UNIDADE",IF($T40&lt;=0,"SEM VALOR",IF(AND($Y40&lt;&gt;"",$Q40&gt;$Y40),"ACIMA REF.","")))))</f>
        <v/>
      </c>
      <c r="V40" s="4" t="str">
        <f ca="1">IF(OR($A40=0,$A40="S",$A40&gt;CFF!$A$9),"",MAX(V$12:OFFSET(V40,-1,0))+1)</f>
        <v/>
      </c>
      <c r="W40" s="9" t="str">
        <f>IF(AND($J40="Serviço",$M40&lt;&gt;""),IF($L40="",$M40,CONCATENATE($L40,"-",$M40)))</f>
        <v>Sinapi-96557</v>
      </c>
      <c r="X40" s="4">
        <f aca="true" t="shared" si="57" ref="X40:X119">IF(AND(Fonte&lt;&gt;"",Código&lt;&gt;""),MATCH(Fonte&amp;" "&amp;IF(Fonte="sinapi",SUBSTITUTE(SUBSTITUTE(Código,"/00","/"),"/0","/"),Código),INDIRECT("'[Referência "&amp;_XLNM.DATABASE&amp;".xls]Banco'!$a:$a"),0),"X")</f>
        <v>2552</v>
      </c>
      <c r="Y40" s="121">
        <f ca="1">IF(Import.Desoneracao="sim",Referencia.Desonerado,Referencia.NaoDesonerado)</f>
        <v>639.01</v>
      </c>
      <c r="Z40" s="132">
        <f ca="1">ROUND(IF(ISNUMBER(R40),R40,IF(LEFT(R40,3)="BDI",HLOOKUP(R40,DADOS!$T$37:$X$38,2,FALSE),0)),15-11*$X$5)</f>
        <v>0.206</v>
      </c>
      <c r="AA40" s="4"/>
    </row>
    <row r="41" spans="1:27" ht="26.4">
      <c r="A41" t="str">
        <f>CHOOSE(1+LOG(1+2*(J41="Meta")+4*(J41="Nível 2")+8*(J41="Nível 3")+16*(J41="Nível 4")+32*(J41="Serviço"),2),0,1,2,3,4,"S")</f>
        <v>S</v>
      </c>
      <c r="B41">
        <f>IF(OR(A41="S",A41=0),0,IF(ISERROR(I41),H41,SMALL(H41:I41,1)))</f>
        <v>0</v>
      </c>
      <c r="C41">
        <f ca="1">IF($A41=1,OFFSET(C41,-1,0)+1,OFFSET(C41,-1,0))</f>
        <v>1</v>
      </c>
      <c r="D41">
        <f ca="1">IF($A41=1,0,IF($A41=2,OFFSET(D41,-1,0)+1,OFFSET(D41,-1,0)))</f>
        <v>4</v>
      </c>
      <c r="E41">
        <f ca="1">IF(AND($A41&lt;=2,$A41&lt;&gt;0),0,IF($A41=3,OFFSET(E41,-1,0)+1,OFFSET(E41,-1,0)))</f>
        <v>0</v>
      </c>
      <c r="F41">
        <f ca="1">IF(AND($A41&lt;=3,$A41&lt;&gt;0),0,IF($A41=4,OFFSET(F41,-1,0)+1,OFFSET(F41,-1,0)))</f>
        <v>0</v>
      </c>
      <c r="G41">
        <f ca="1">IF(AND($A41&lt;=4,$A41&lt;&gt;0),0,IF($A41="S",OFFSET(G41,-1,0)+1,OFFSET(G41,-1,0)))</f>
        <v>5</v>
      </c>
      <c r="H41">
        <f ca="1" t="shared" si="7"/>
        <v>0</v>
      </c>
      <c r="I41">
        <f ca="1" t="shared" si="8"/>
        <v>0</v>
      </c>
      <c r="J41" s="120" t="s">
        <v>103</v>
      </c>
      <c r="K41" s="162" t="str">
        <f ca="1">IF($A41=0,"-",CONCATENATE(C41&amp;".",IF(AND($A$5&gt;=2,$A41&gt;=2),D41&amp;".",""),IF(AND($A$5&gt;=3,$A41&gt;=3),E41&amp;".",""),IF(AND($A$5&gt;=4,$A41&gt;=4),F41&amp;".",""),IF($A41="S",G41&amp;".","")))</f>
        <v>1.4.5.</v>
      </c>
      <c r="L41" s="209" t="s">
        <v>228</v>
      </c>
      <c r="M41" s="209" t="s">
        <v>273</v>
      </c>
      <c r="N41" s="230" t="str">
        <f ca="1">IF($A41="S",Referencia.Descricao,"(digite a descrição aqui)")</f>
        <v>IMPERMEABILIZAÇÃO DE SUPERFÍCIE COM EMULSÃO ASFÁLTICA, 2 DEMÃOS AF_06/2018</v>
      </c>
      <c r="O41" s="229" t="str">
        <f ca="1">Referencia.Unidade</f>
        <v>M2</v>
      </c>
      <c r="P41" s="232">
        <f ca="1">OFFSET(PLQ!$E$12,ROW($P41)-ROW(P$12),0)</f>
        <v>633.1</v>
      </c>
      <c r="Q41" s="228">
        <v>50.28</v>
      </c>
      <c r="R41" s="231" t="s">
        <v>7</v>
      </c>
      <c r="S41" s="121">
        <f ca="1">IF($A41="S",IF($Q$10="Preço Unitário (R$)",PO.CustoUnitario,ROUND(PO.CustoUnitario*(1+$Z41),15-13*$X$6)),0)</f>
        <v>60.64</v>
      </c>
      <c r="T41" s="98">
        <f ca="1">IF($A41="S",VTOTAL1,IF($A41=0,0,ROUND(SomaAgrup,15-13*$X$7)))</f>
        <v>38391.18</v>
      </c>
      <c r="U41" s="13" t="str">
        <f ca="1">IF($J41="","",IF($N41="","DESCRIÇÃO",IF(AND($J41="Serviço",$O41=""),"UNIDADE",IF($T41&lt;=0,"SEM VALOR",IF(AND($Y41&lt;&gt;"",$Q41&gt;$Y41),"ACIMA REF.","")))))</f>
        <v/>
      </c>
      <c r="V41" s="4" t="str">
        <f ca="1">IF(OR($A41=0,$A41="S",$A41&gt;CFF!$A$9),"",MAX(V$12:OFFSET(V41,-1,0))+1)</f>
        <v/>
      </c>
      <c r="W41" s="9" t="str">
        <f>IF(AND($J41="Serviço",$M41&lt;&gt;""),IF($L41="",$M41,CONCATENATE($L41,"-",$M41)))</f>
        <v>Sinapi-98557</v>
      </c>
      <c r="X41" s="4">
        <f ca="1">IF(AND(Fonte&lt;&gt;"",Código&lt;&gt;""),MATCH(Fonte&amp;" "&amp;IF(Fonte="sinapi",SUBSTITUTE(SUBSTITUTE(Código,"/00","/"),"/0","/"),Código),INDIRECT("'[Referência "&amp;_XLNM.DATABASE&amp;".xls]Banco'!$a:$a"),0),"X")</f>
        <v>2720</v>
      </c>
      <c r="Y41" s="121">
        <f ca="1">IF(Import.Desoneracao="sim",Referencia.Desonerado,Referencia.NaoDesonerado)</f>
        <v>50.28</v>
      </c>
      <c r="Z41" s="132">
        <f ca="1">ROUND(IF(ISNUMBER(R41),R41,IF(LEFT(R41,3)="BDI",HLOOKUP(R41,DADOS!$T$37:$X$38,2,FALSE),0)),15-11*$X$5)</f>
        <v>0.206</v>
      </c>
      <c r="AA41" s="4"/>
    </row>
    <row r="42" spans="1:27" ht="12.75">
      <c r="A42">
        <f aca="true" t="shared" si="58" ref="A42:A121">CHOOSE(1+LOG(1+2*(J42="Meta")+4*(J42="Nível 2")+8*(J42="Nível 3")+16*(J42="Nível 4")+32*(J42="Serviço"),2),0,1,2,3,4,"S")</f>
        <v>2</v>
      </c>
      <c r="B42">
        <f aca="true" t="shared" si="59" ref="B42:B121">IF(OR(A42="S",A42=0),0,IF(ISERROR(I42),H42,SMALL(H42:I42,1)))</f>
        <v>5</v>
      </c>
      <c r="C42">
        <f aca="true" ca="1" t="shared" si="60" ref="C42:C121">IF($A42=1,OFFSET(C42,-1,0)+1,OFFSET(C42,-1,0))</f>
        <v>1</v>
      </c>
      <c r="D42">
        <f aca="true" ca="1" t="shared" si="61" ref="D42:D121">IF($A42=1,0,IF($A42=2,OFFSET(D42,-1,0)+1,OFFSET(D42,-1,0)))</f>
        <v>5</v>
      </c>
      <c r="E42">
        <f aca="true" ca="1" t="shared" si="62" ref="E42:E121">IF(AND($A42&lt;=2,$A42&lt;&gt;0),0,IF($A42=3,OFFSET(E42,-1,0)+1,OFFSET(E42,-1,0)))</f>
        <v>0</v>
      </c>
      <c r="F42">
        <f aca="true" ca="1" t="shared" si="63" ref="F42:F121">IF(AND($A42&lt;=3,$A42&lt;&gt;0),0,IF($A42=4,OFFSET(F42,-1,0)+1,OFFSET(F42,-1,0)))</f>
        <v>0</v>
      </c>
      <c r="G42">
        <f aca="true" ca="1" t="shared" si="64" ref="G42:G121">IF(AND($A42&lt;=4,$A42&lt;&gt;0),0,IF($A42="S",OFFSET(G42,-1,0)+1,OFFSET(G42,-1,0)))</f>
        <v>0</v>
      </c>
      <c r="H42">
        <f ca="1" t="shared" si="7"/>
        <v>132</v>
      </c>
      <c r="I42">
        <f ca="1" t="shared" si="8"/>
        <v>5</v>
      </c>
      <c r="J42" s="120" t="s">
        <v>100</v>
      </c>
      <c r="K42" s="162" t="str">
        <f aca="true" t="shared" si="65" ref="K42:K121">IF($A42=0,"-",CONCATENATE(C42&amp;".",IF(AND($A$5&gt;=2,$A42&gt;=2),D42&amp;".",""),IF(AND($A$5&gt;=3,$A42&gt;=3),E42&amp;".",""),IF(AND($A$5&gt;=4,$A42&gt;=4),F42&amp;".",""),IF($A42="S",G42&amp;".","")))</f>
        <v>1.5.</v>
      </c>
      <c r="L42" s="209"/>
      <c r="M42" s="209"/>
      <c r="N42" s="230" t="s">
        <v>267</v>
      </c>
      <c r="O42" s="229" t="str">
        <f ca="1">Referencia.Unidade</f>
        <v/>
      </c>
      <c r="P42" s="232">
        <f ca="1">OFFSET(PLQ!$E$12,ROW($P42)-ROW(P$12),0)</f>
        <v>0</v>
      </c>
      <c r="Q42" s="228"/>
      <c r="R42" s="231" t="s">
        <v>7</v>
      </c>
      <c r="S42" s="121">
        <f t="shared" si="55"/>
        <v>0</v>
      </c>
      <c r="T42" s="98">
        <f ca="1" t="shared" si="56"/>
        <v>63665.66</v>
      </c>
      <c r="U42" s="13" t="str">
        <f aca="true" t="shared" si="66" ref="U42:U121">IF($J42="","",IF($N42="","DESCRIÇÃO",IF(AND($J42="Serviço",$O42=""),"UNIDADE",IF($T42&lt;=0,"SEM VALOR",IF(AND($Y42&lt;&gt;"",$Q42&gt;$Y42),"ACIMA REF.","")))))</f>
        <v/>
      </c>
      <c r="V42" s="4">
        <f ca="1">IF(OR($A42=0,$A42="S",$A42&gt;CFF!$A$9),"",MAX(V$12:OFFSET(V42,-1,0))+1)</f>
        <v>6</v>
      </c>
      <c r="W42" s="9" t="b">
        <f aca="true" t="shared" si="67" ref="W42:W121">IF(AND($J42="Serviço",$M42&lt;&gt;""),IF($L42="",$M42,CONCATENATE($L42,"-",$M42)))</f>
        <v>0</v>
      </c>
      <c r="X42" s="4" t="str">
        <f ca="1" t="shared" si="57"/>
        <v>X</v>
      </c>
      <c r="Y42" s="121">
        <f ca="1">IF(Import.Desoneracao="sim",Referencia.Desonerado,Referencia.NaoDesonerado)</f>
        <v>0</v>
      </c>
      <c r="Z42" s="132">
        <f ca="1">ROUND(IF(ISNUMBER(R42),R42,IF(LEFT(R42,3)="BDI",HLOOKUP(R42,DADOS!$T$37:$X$38,2,FALSE),0)),15-11*$X$5)</f>
        <v>0.206</v>
      </c>
      <c r="AA42" s="4"/>
    </row>
    <row r="43" spans="1:27" ht="26.4">
      <c r="A43" t="str">
        <f t="shared" si="58"/>
        <v>S</v>
      </c>
      <c r="B43">
        <f t="shared" si="59"/>
        <v>0</v>
      </c>
      <c r="C43">
        <f ca="1" t="shared" si="60"/>
        <v>1</v>
      </c>
      <c r="D43">
        <f ca="1" t="shared" si="61"/>
        <v>5</v>
      </c>
      <c r="E43">
        <f ca="1" t="shared" si="62"/>
        <v>0</v>
      </c>
      <c r="F43">
        <f ca="1" t="shared" si="63"/>
        <v>0</v>
      </c>
      <c r="G43">
        <f ca="1" t="shared" si="64"/>
        <v>1</v>
      </c>
      <c r="H43">
        <f ca="1" t="shared" si="7"/>
        <v>0</v>
      </c>
      <c r="I43">
        <f ca="1" t="shared" si="8"/>
        <v>0</v>
      </c>
      <c r="J43" s="120" t="s">
        <v>103</v>
      </c>
      <c r="K43" s="162" t="str">
        <f ca="1" t="shared" si="65"/>
        <v>1.5.1.</v>
      </c>
      <c r="L43" s="209" t="s">
        <v>228</v>
      </c>
      <c r="M43" s="209" t="s">
        <v>268</v>
      </c>
      <c r="N43" s="230" t="str">
        <f ca="1">IF($A43="S",Referencia.Descricao,"(digite a descrição aqui)")</f>
        <v>MONTAGEM E DESMONTAGEM DE FÔRMA DE PILARES RETANGULARES E ESTRUTURAS SIMILARES, PÉ-DIREITO SIMPLES, EM MADEIRA SERRADA, 4 UTILIZAÇÕES. AF_09/2020</v>
      </c>
      <c r="O43" s="229" t="str">
        <f ca="1">Referencia.Unidade</f>
        <v>M2</v>
      </c>
      <c r="P43" s="232">
        <f ca="1">OFFSET(PLQ!$E$12,ROW($P43)-ROW(P$12),0)</f>
        <v>243.75</v>
      </c>
      <c r="Q43" s="228">
        <v>101.14</v>
      </c>
      <c r="R43" s="231" t="s">
        <v>7</v>
      </c>
      <c r="S43" s="121">
        <f ca="1" t="shared" si="55"/>
        <v>121.97</v>
      </c>
      <c r="T43" s="98">
        <f ca="1" t="shared" si="56"/>
        <v>29730.19</v>
      </c>
      <c r="U43" s="13" t="str">
        <f ca="1" t="shared" si="66"/>
        <v/>
      </c>
      <c r="V43" s="4" t="str">
        <f ca="1">IF(OR($A43=0,$A43="S",$A43&gt;CFF!$A$9),"",MAX(V$12:OFFSET(V43,-1,0))+1)</f>
        <v/>
      </c>
      <c r="W43" s="9" t="str">
        <f t="shared" si="67"/>
        <v>Sinapi-92413</v>
      </c>
      <c r="X43" s="4">
        <f ca="1" t="shared" si="57"/>
        <v>2224</v>
      </c>
      <c r="Y43" s="121">
        <f ca="1">IF(Import.Desoneracao="sim",Referencia.Desonerado,Referencia.NaoDesonerado)</f>
        <v>101.14</v>
      </c>
      <c r="Z43" s="132">
        <f ca="1">ROUND(IF(ISNUMBER(R43),R43,IF(LEFT(R43,3)="BDI",HLOOKUP(R43,DADOS!$T$37:$X$38,2,FALSE),0)),15-11*$X$5)</f>
        <v>0.206</v>
      </c>
      <c r="AA43" s="4"/>
    </row>
    <row r="44" spans="1:27" ht="26.4">
      <c r="A44" t="str">
        <f t="shared" si="58"/>
        <v>S</v>
      </c>
      <c r="B44">
        <f t="shared" si="59"/>
        <v>0</v>
      </c>
      <c r="C44">
        <f ca="1" t="shared" si="60"/>
        <v>1</v>
      </c>
      <c r="D44">
        <f ca="1" t="shared" si="61"/>
        <v>5</v>
      </c>
      <c r="E44">
        <f ca="1" t="shared" si="62"/>
        <v>0</v>
      </c>
      <c r="F44">
        <f ca="1" t="shared" si="63"/>
        <v>0</v>
      </c>
      <c r="G44">
        <f ca="1" t="shared" si="64"/>
        <v>2</v>
      </c>
      <c r="H44">
        <f aca="true" ca="1" t="shared" si="68" ref="H44:H75">IF(OR($A44="S",$A44=0),0,MATCH(0,OFFSET($B44,1,$A44,ROW($A$174)-ROW($A44)),0))</f>
        <v>0</v>
      </c>
      <c r="I44">
        <f aca="true" ca="1" t="shared" si="69" ref="I44:I75">IF(OR($A44="S",$A44=0),0,MATCH(OFFSET($B44,0,$A44)+1,OFFSET($B44,1,$A44,ROW($A$174)-ROW($A44)),0))</f>
        <v>0</v>
      </c>
      <c r="J44" s="120" t="s">
        <v>103</v>
      </c>
      <c r="K44" s="162" t="str">
        <f ca="1" t="shared" si="65"/>
        <v>1.5.2.</v>
      </c>
      <c r="L44" s="209" t="s">
        <v>228</v>
      </c>
      <c r="M44" s="209" t="s">
        <v>259</v>
      </c>
      <c r="N44" s="230" t="str">
        <f ca="1">IF($A44="S",Referencia.Descricao,"(digite a descrição aqui)")</f>
        <v>ARMAÇÃO DE PILAR OU VIGA DE ESTRUTURA CONVENCIONAL DE CONCRETO ARMADO UTILIZANDO AÇO CA-50 DE 10,0 MM - MONTAGEM. AF_06/2022</v>
      </c>
      <c r="O44" s="229" t="str">
        <f ca="1">Referencia.Unidade</f>
        <v>KG</v>
      </c>
      <c r="P44" s="232">
        <f ca="1">OFFSET(PLQ!$E$12,ROW($P44)-ROW(P$12),0)</f>
        <v>962</v>
      </c>
      <c r="Q44" s="228">
        <v>11.85</v>
      </c>
      <c r="R44" s="231" t="s">
        <v>7</v>
      </c>
      <c r="S44" s="121">
        <f ca="1" t="shared" si="55"/>
        <v>14.29</v>
      </c>
      <c r="T44" s="98">
        <f ca="1" t="shared" si="56"/>
        <v>13746.98</v>
      </c>
      <c r="U44" s="13" t="str">
        <f ca="1" t="shared" si="66"/>
        <v/>
      </c>
      <c r="V44" s="4" t="str">
        <f ca="1">IF(OR($A44=0,$A44="S",$A44&gt;CFF!$A$9),"",MAX(V$12:OFFSET(V44,-1,0))+1)</f>
        <v/>
      </c>
      <c r="W44" s="9" t="str">
        <f t="shared" si="67"/>
        <v>Sinapi-92762</v>
      </c>
      <c r="X44" s="4">
        <f ca="1" t="shared" si="57"/>
        <v>2439</v>
      </c>
      <c r="Y44" s="121">
        <f ca="1">IF(Import.Desoneracao="sim",Referencia.Desonerado,Referencia.NaoDesonerado)</f>
        <v>11.85</v>
      </c>
      <c r="Z44" s="132">
        <f ca="1">ROUND(IF(ISNUMBER(R44),R44,IF(LEFT(R44,3)="BDI",HLOOKUP(R44,DADOS!$T$37:$X$38,2,FALSE),0)),15-11*$X$5)</f>
        <v>0.206</v>
      </c>
      <c r="AA44" s="4"/>
    </row>
    <row r="45" spans="1:27" ht="26.4">
      <c r="A45" t="str">
        <f t="shared" si="58"/>
        <v>S</v>
      </c>
      <c r="B45">
        <f t="shared" si="59"/>
        <v>0</v>
      </c>
      <c r="C45">
        <f ca="1" t="shared" si="60"/>
        <v>1</v>
      </c>
      <c r="D45">
        <f ca="1" t="shared" si="61"/>
        <v>5</v>
      </c>
      <c r="E45">
        <f ca="1" t="shared" si="62"/>
        <v>0</v>
      </c>
      <c r="F45">
        <f ca="1" t="shared" si="63"/>
        <v>0</v>
      </c>
      <c r="G45">
        <f ca="1" t="shared" si="64"/>
        <v>3</v>
      </c>
      <c r="H45">
        <f ca="1" t="shared" si="68"/>
        <v>0</v>
      </c>
      <c r="I45">
        <f ca="1" t="shared" si="69"/>
        <v>0</v>
      </c>
      <c r="J45" s="120" t="s">
        <v>103</v>
      </c>
      <c r="K45" s="162" t="str">
        <f ca="1" t="shared" si="65"/>
        <v>1.5.3.</v>
      </c>
      <c r="L45" s="209" t="s">
        <v>228</v>
      </c>
      <c r="M45" s="209" t="s">
        <v>269</v>
      </c>
      <c r="N45" s="230" t="str">
        <f ca="1">IF($A45="S",Referencia.Descricao,"(digite a descrição aqui)")</f>
        <v>ARMAÇÃO DE PILAR OU VIGA DE ESTRUTURA CONVENCIONAL DE CONCRETO ARMADO UTILIZANDO AÇO CA-60 DE 5,0 MM - MONTAGEM. AF_06/2022</v>
      </c>
      <c r="O45" s="229" t="str">
        <f ca="1">Referencia.Unidade</f>
        <v>KG</v>
      </c>
      <c r="P45" s="232">
        <f ca="1">OFFSET(PLQ!$E$12,ROW($P45)-ROW(P$12),0)</f>
        <v>371.54</v>
      </c>
      <c r="Q45" s="228">
        <v>14.49</v>
      </c>
      <c r="R45" s="231" t="s">
        <v>7</v>
      </c>
      <c r="S45" s="121">
        <f ca="1" t="shared" si="55"/>
        <v>17.47</v>
      </c>
      <c r="T45" s="98">
        <f ca="1" t="shared" si="56"/>
        <v>6490.8</v>
      </c>
      <c r="U45" s="13" t="str">
        <f ca="1" t="shared" si="66"/>
        <v/>
      </c>
      <c r="V45" s="4" t="str">
        <f ca="1">IF(OR($A45=0,$A45="S",$A45&gt;CFF!$A$9),"",MAX(V$12:OFFSET(V45,-1,0))+1)</f>
        <v/>
      </c>
      <c r="W45" s="9" t="str">
        <f t="shared" si="67"/>
        <v>Sinapi-92759</v>
      </c>
      <c r="X45" s="4">
        <f ca="1" t="shared" si="57"/>
        <v>2436</v>
      </c>
      <c r="Y45" s="121">
        <f ca="1">IF(Import.Desoneracao="sim",Referencia.Desonerado,Referencia.NaoDesonerado)</f>
        <v>14.49</v>
      </c>
      <c r="Z45" s="132">
        <f ca="1">ROUND(IF(ISNUMBER(R45),R45,IF(LEFT(R45,3)="BDI",HLOOKUP(R45,DADOS!$T$37:$X$38,2,FALSE),0)),15-11*$X$5)</f>
        <v>0.206</v>
      </c>
      <c r="AA45" s="4"/>
    </row>
    <row r="46" spans="1:27" ht="26.4">
      <c r="A46" t="str">
        <f t="shared" si="58"/>
        <v>S</v>
      </c>
      <c r="B46">
        <f t="shared" si="59"/>
        <v>0</v>
      </c>
      <c r="C46">
        <f ca="1" t="shared" si="60"/>
        <v>1</v>
      </c>
      <c r="D46">
        <f ca="1" t="shared" si="61"/>
        <v>5</v>
      </c>
      <c r="E46">
        <f ca="1" t="shared" si="62"/>
        <v>0</v>
      </c>
      <c r="F46">
        <f ca="1" t="shared" si="63"/>
        <v>0</v>
      </c>
      <c r="G46">
        <f ca="1" t="shared" si="64"/>
        <v>4</v>
      </c>
      <c r="H46">
        <f ca="1" t="shared" si="68"/>
        <v>0</v>
      </c>
      <c r="I46">
        <f ca="1" t="shared" si="69"/>
        <v>0</v>
      </c>
      <c r="J46" s="120" t="s">
        <v>103</v>
      </c>
      <c r="K46" s="162" t="str">
        <f ca="1" t="shared" si="65"/>
        <v>1.5.4.</v>
      </c>
      <c r="L46" s="209" t="s">
        <v>228</v>
      </c>
      <c r="M46" s="209" t="s">
        <v>270</v>
      </c>
      <c r="N46" s="230" t="str">
        <f ca="1">IF($A46="S",Referencia.Descricao,"(digite a descrição aqui)")</f>
        <v>CONCRETAGEM DE PILARES, FCK = 25 MPA, COM USO DE BOMBA - LANÇAMENTO, ADENSAMENTO E ACABAMENTO. AF_02/2022_PS</v>
      </c>
      <c r="O46" s="229" t="str">
        <f ca="1">Referencia.Unidade</f>
        <v>M3</v>
      </c>
      <c r="P46" s="232">
        <f ca="1">OFFSET(PLQ!$E$12,ROW($P46)-ROW(P$12),0)</f>
        <v>18.46</v>
      </c>
      <c r="Q46" s="228">
        <v>615.27</v>
      </c>
      <c r="R46" s="231" t="s">
        <v>7</v>
      </c>
      <c r="S46" s="121">
        <f ca="1" t="shared" si="55"/>
        <v>742.02</v>
      </c>
      <c r="T46" s="98">
        <f ca="1" t="shared" si="56"/>
        <v>13697.69</v>
      </c>
      <c r="U46" s="13" t="str">
        <f ca="1" t="shared" si="66"/>
        <v/>
      </c>
      <c r="V46" s="4" t="str">
        <f ca="1">IF(OR($A46=0,$A46="S",$A46&gt;CFF!$A$9),"",MAX(V$12:OFFSET(V46,-1,0))+1)</f>
        <v/>
      </c>
      <c r="W46" s="9" t="str">
        <f t="shared" si="67"/>
        <v>Sinapi-103672</v>
      </c>
      <c r="X46" s="4">
        <f ca="1" t="shared" si="57"/>
        <v>2584</v>
      </c>
      <c r="Y46" s="121">
        <f ca="1">IF(Import.Desoneracao="sim",Referencia.Desonerado,Referencia.NaoDesonerado)</f>
        <v>615.27</v>
      </c>
      <c r="Z46" s="132">
        <f ca="1">ROUND(IF(ISNUMBER(R46),R46,IF(LEFT(R46,3)="BDI",HLOOKUP(R46,DADOS!$T$37:$X$38,2,FALSE),0)),15-11*$X$5)</f>
        <v>0.206</v>
      </c>
      <c r="AA46" s="4"/>
    </row>
    <row r="47" spans="1:27" ht="12.75">
      <c r="A47">
        <f t="shared" si="58"/>
        <v>2</v>
      </c>
      <c r="B47">
        <f ca="1" t="shared" si="59"/>
        <v>5</v>
      </c>
      <c r="C47">
        <f ca="1" t="shared" si="60"/>
        <v>1</v>
      </c>
      <c r="D47">
        <f ca="1" t="shared" si="61"/>
        <v>6</v>
      </c>
      <c r="E47">
        <f ca="1" t="shared" si="62"/>
        <v>0</v>
      </c>
      <c r="F47">
        <f ca="1" t="shared" si="63"/>
        <v>0</v>
      </c>
      <c r="G47">
        <f ca="1" t="shared" si="64"/>
        <v>0</v>
      </c>
      <c r="H47">
        <f ca="1" t="shared" si="68"/>
        <v>127</v>
      </c>
      <c r="I47">
        <f ca="1" t="shared" si="69"/>
        <v>5</v>
      </c>
      <c r="J47" s="120" t="s">
        <v>100</v>
      </c>
      <c r="K47" s="162" t="str">
        <f ca="1" t="shared" si="65"/>
        <v>1.6.</v>
      </c>
      <c r="L47" s="209"/>
      <c r="M47" s="209"/>
      <c r="N47" s="230" t="s">
        <v>271</v>
      </c>
      <c r="O47" s="229" t="str">
        <f ca="1">Referencia.Unidade</f>
        <v/>
      </c>
      <c r="P47" s="232">
        <f ca="1">OFFSET(PLQ!$E$12,ROW($P47)-ROW(P$12),0)</f>
        <v>0</v>
      </c>
      <c r="Q47" s="228"/>
      <c r="R47" s="231" t="s">
        <v>7</v>
      </c>
      <c r="S47" s="121">
        <f t="shared" si="55"/>
        <v>0</v>
      </c>
      <c r="T47" s="98">
        <f ca="1" t="shared" si="56"/>
        <v>499022.95</v>
      </c>
      <c r="U47" s="13" t="str">
        <f ca="1" t="shared" si="66"/>
        <v/>
      </c>
      <c r="V47" s="4">
        <f ca="1">IF(OR($A47=0,$A47="S",$A47&gt;CFF!$A$9),"",MAX(V$12:OFFSET(V47,-1,0))+1)</f>
        <v>7</v>
      </c>
      <c r="W47" s="9" t="b">
        <f t="shared" si="67"/>
        <v>0</v>
      </c>
      <c r="X47" s="4" t="str">
        <f ca="1" t="shared" si="57"/>
        <v>X</v>
      </c>
      <c r="Y47" s="121">
        <f ca="1">IF(Import.Desoneracao="sim",Referencia.Desonerado,Referencia.NaoDesonerado)</f>
        <v>0</v>
      </c>
      <c r="Z47" s="132">
        <f ca="1">ROUND(IF(ISNUMBER(R47),R47,IF(LEFT(R47,3)="BDI",HLOOKUP(R47,DADOS!$T$37:$X$38,2,FALSE),0)),15-11*$X$5)</f>
        <v>0.206</v>
      </c>
      <c r="AA47" s="4"/>
    </row>
    <row r="48" spans="1:27" ht="26.4">
      <c r="A48" t="str">
        <f t="shared" si="58"/>
        <v>S</v>
      </c>
      <c r="B48">
        <f t="shared" si="59"/>
        <v>0</v>
      </c>
      <c r="C48">
        <f ca="1" t="shared" si="60"/>
        <v>1</v>
      </c>
      <c r="D48">
        <f ca="1" t="shared" si="61"/>
        <v>6</v>
      </c>
      <c r="E48">
        <f ca="1" t="shared" si="62"/>
        <v>0</v>
      </c>
      <c r="F48">
        <f ca="1" t="shared" si="63"/>
        <v>0</v>
      </c>
      <c r="G48">
        <f ca="1" t="shared" si="64"/>
        <v>1</v>
      </c>
      <c r="H48">
        <f ca="1" t="shared" si="68"/>
        <v>0</v>
      </c>
      <c r="I48">
        <f ca="1" t="shared" si="69"/>
        <v>0</v>
      </c>
      <c r="J48" s="120" t="s">
        <v>103</v>
      </c>
      <c r="K48" s="162" t="str">
        <f ca="1" t="shared" si="65"/>
        <v>1.6.1.</v>
      </c>
      <c r="L48" s="209" t="s">
        <v>240</v>
      </c>
      <c r="M48" s="209" t="s">
        <v>272</v>
      </c>
      <c r="N48" s="230" t="str">
        <f ca="1">IF($A48="S",Referencia.Descricao,"(digite a descrição aqui)")</f>
        <v>Alvenaria de tijolos maciços 5x10x20cm (meia vez, para fechamento), assentados com argamassa traço 1:2:8 (cimento, cal e areia)</v>
      </c>
      <c r="O48" s="229" t="str">
        <f ca="1">Referencia.Unidade</f>
        <v>M²</v>
      </c>
      <c r="P48" s="232">
        <f ca="1">OFFSET(PLQ!$E$12,ROW($P48)-ROW(P$12),0)</f>
        <v>2003.95</v>
      </c>
      <c r="Q48" s="228">
        <v>78.91</v>
      </c>
      <c r="R48" s="231" t="s">
        <v>7</v>
      </c>
      <c r="S48" s="121">
        <f ca="1" t="shared" si="55"/>
        <v>95.17</v>
      </c>
      <c r="T48" s="98">
        <f ca="1" t="shared" si="56"/>
        <v>190715.92</v>
      </c>
      <c r="U48" s="13" t="str">
        <f ca="1" t="shared" si="66"/>
        <v/>
      </c>
      <c r="V48" s="4" t="str">
        <f ca="1">IF(OR($A48=0,$A48="S",$A48&gt;CFF!$A$9),"",MAX(V$12:OFFSET(V48,-1,0))+1)</f>
        <v/>
      </c>
      <c r="W48" s="9" t="str">
        <f t="shared" si="67"/>
        <v>COMPOSIÇÃO-03</v>
      </c>
      <c r="X48" s="4">
        <f ca="1" t="shared" si="57"/>
        <v>9</v>
      </c>
      <c r="Y48" s="121">
        <f ca="1">IF(Import.Desoneracao="sim",Referencia.Desonerado,Referencia.NaoDesonerado)</f>
        <v>78.91</v>
      </c>
      <c r="Z48" s="132">
        <f ca="1">ROUND(IF(ISNUMBER(R48),R48,IF(LEFT(R48,3)="BDI",HLOOKUP(R48,DADOS!$T$37:$X$38,2,FALSE),0)),15-11*$X$5)</f>
        <v>0.206</v>
      </c>
      <c r="AA48" s="4"/>
    </row>
    <row r="49" spans="1:27" ht="39.6">
      <c r="A49" t="str">
        <f t="shared" si="58"/>
        <v>S</v>
      </c>
      <c r="B49">
        <f t="shared" si="59"/>
        <v>0</v>
      </c>
      <c r="C49">
        <f ca="1" t="shared" si="60"/>
        <v>1</v>
      </c>
      <c r="D49">
        <f ca="1" t="shared" si="61"/>
        <v>6</v>
      </c>
      <c r="E49">
        <f ca="1" t="shared" si="62"/>
        <v>0</v>
      </c>
      <c r="F49">
        <f ca="1" t="shared" si="63"/>
        <v>0</v>
      </c>
      <c r="G49">
        <f ca="1" t="shared" si="64"/>
        <v>2</v>
      </c>
      <c r="H49">
        <f ca="1" t="shared" si="68"/>
        <v>0</v>
      </c>
      <c r="I49">
        <f ca="1" t="shared" si="69"/>
        <v>0</v>
      </c>
      <c r="J49" s="120" t="s">
        <v>103</v>
      </c>
      <c r="K49" s="162" t="str">
        <f ca="1" t="shared" si="65"/>
        <v>1.6.2.</v>
      </c>
      <c r="L49" s="209" t="s">
        <v>228</v>
      </c>
      <c r="M49" s="209" t="s">
        <v>399</v>
      </c>
      <c r="N49" s="230" t="str">
        <f ca="1">IF($A49="S",Referencia.Descricao,"(digite a descrição aqui)")</f>
        <v>CHAPISCO APLICADO EM ALVENARIA (COM PRESENÇA DE VÃOS) E ESTRUTURAS DE CONCRETO DE FACHADA, COM COLHER DE PEDREIRO.  ARGAMASSA TRAÇO 1:3 COM PREPARO EM BETONEIRA 400L. AF_10/2022</v>
      </c>
      <c r="O49" s="229" t="str">
        <f ca="1">Referencia.Unidade</f>
        <v>M2</v>
      </c>
      <c r="P49" s="232">
        <f ca="1">OFFSET(PLQ!$E$12,ROW($P49)-ROW(P$12),0)</f>
        <v>4580.94</v>
      </c>
      <c r="Q49" s="228">
        <v>7.68</v>
      </c>
      <c r="R49" s="231" t="s">
        <v>7</v>
      </c>
      <c r="S49" s="121">
        <f ca="1" t="shared" si="55"/>
        <v>9.26</v>
      </c>
      <c r="T49" s="98">
        <f ca="1" t="shared" si="56"/>
        <v>42419.5</v>
      </c>
      <c r="U49" s="13" t="str">
        <f ca="1" t="shared" si="66"/>
        <v/>
      </c>
      <c r="V49" s="4" t="str">
        <f ca="1">IF(OR($A49=0,$A49="S",$A49&gt;CFF!$A$9),"",MAX(V$12:OFFSET(V49,-1,0))+1)</f>
        <v/>
      </c>
      <c r="W49" s="9" t="str">
        <f t="shared" si="67"/>
        <v>Sinapi-87905</v>
      </c>
      <c r="X49" s="4">
        <f ca="1" t="shared" si="57"/>
        <v>6273</v>
      </c>
      <c r="Y49" s="121">
        <f ca="1">IF(Import.Desoneracao="sim",Referencia.Desonerado,Referencia.NaoDesonerado)</f>
        <v>7.68</v>
      </c>
      <c r="Z49" s="132">
        <f ca="1">ROUND(IF(ISNUMBER(R49),R49,IF(LEFT(R49,3)="BDI",HLOOKUP(R49,DADOS!$T$37:$X$38,2,FALSE),0)),15-11*$X$5)</f>
        <v>0.206</v>
      </c>
      <c r="AA49" s="4"/>
    </row>
    <row r="50" spans="1:27" ht="39.6">
      <c r="A50" t="str">
        <f t="shared" si="58"/>
        <v>S</v>
      </c>
      <c r="B50">
        <f t="shared" si="59"/>
        <v>0</v>
      </c>
      <c r="C50">
        <f ca="1" t="shared" si="60"/>
        <v>1</v>
      </c>
      <c r="D50">
        <f ca="1" t="shared" si="61"/>
        <v>6</v>
      </c>
      <c r="E50">
        <f ca="1" t="shared" si="62"/>
        <v>0</v>
      </c>
      <c r="F50">
        <f ca="1" t="shared" si="63"/>
        <v>0</v>
      </c>
      <c r="G50">
        <f ca="1" t="shared" si="64"/>
        <v>3</v>
      </c>
      <c r="H50">
        <f ca="1" t="shared" si="68"/>
        <v>0</v>
      </c>
      <c r="I50">
        <f ca="1" t="shared" si="69"/>
        <v>0</v>
      </c>
      <c r="J50" s="120" t="s">
        <v>103</v>
      </c>
      <c r="K50" s="162" t="str">
        <f ca="1" t="shared" si="65"/>
        <v>1.6.3.</v>
      </c>
      <c r="L50" s="209" t="s">
        <v>228</v>
      </c>
      <c r="M50" s="209" t="s">
        <v>274</v>
      </c>
      <c r="N50" s="230" t="str">
        <f ca="1">IF($A50="S",Referencia.Descricao,"(digite a descrição aqui)")</f>
        <v>EMBOÇO OU MASSA ÚNICA EM ARGAMASSA TRAÇO 1:2:8, PREPARO MECÂNICO COM BETONEIRA 400 L, APLICADA MANUALMENTE EM PANOS DE FACHADA COM PRESENÇA DE VÃOS, ESPESSURA DE 25 MM. AF_08/2022</v>
      </c>
      <c r="O50" s="229" t="str">
        <f ca="1">Referencia.Unidade</f>
        <v>M2</v>
      </c>
      <c r="P50" s="232">
        <f ca="1">OFFSET(PLQ!$E$12,ROW($P50)-ROW(P$12),0)</f>
        <v>3967.86</v>
      </c>
      <c r="Q50" s="228">
        <v>50.91</v>
      </c>
      <c r="R50" s="231" t="s">
        <v>7</v>
      </c>
      <c r="S50" s="121">
        <f ca="1" t="shared" si="55"/>
        <v>61.4</v>
      </c>
      <c r="T50" s="98">
        <f ca="1" t="shared" si="56"/>
        <v>243626.6</v>
      </c>
      <c r="U50" s="13" t="str">
        <f ca="1" t="shared" si="66"/>
        <v/>
      </c>
      <c r="V50" s="4" t="str">
        <f ca="1">IF(OR($A50=0,$A50="S",$A50&gt;CFF!$A$9),"",MAX(V$12:OFFSET(V50,-1,0))+1)</f>
        <v/>
      </c>
      <c r="W50" s="9" t="str">
        <f t="shared" si="67"/>
        <v>Sinapi-87775</v>
      </c>
      <c r="X50" s="4">
        <f ca="1" t="shared" si="57"/>
        <v>6320</v>
      </c>
      <c r="Y50" s="121">
        <f ca="1">IF(Import.Desoneracao="sim",Referencia.Desonerado,Referencia.NaoDesonerado)</f>
        <v>50.91</v>
      </c>
      <c r="Z50" s="132">
        <f ca="1">ROUND(IF(ISNUMBER(R50),R50,IF(LEFT(R50,3)="BDI",HLOOKUP(R50,DADOS!$T$37:$X$38,2,FALSE),0)),15-11*$X$5)</f>
        <v>0.206</v>
      </c>
      <c r="AA50" s="4"/>
    </row>
    <row r="51" spans="1:27" ht="52.8">
      <c r="A51" t="str">
        <f>CHOOSE(1+LOG(1+2*(J51="Meta")+4*(J51="Nível 2")+8*(J51="Nível 3")+16*(J51="Nível 4")+32*(J51="Serviço"),2),0,1,2,3,4,"S")</f>
        <v>S</v>
      </c>
      <c r="B51">
        <f>IF(OR(A51="S",A51=0),0,IF(ISERROR(I51),H51,SMALL(H51:I51,1)))</f>
        <v>0</v>
      </c>
      <c r="C51">
        <f ca="1">IF($A51=1,OFFSET(C51,-1,0)+1,OFFSET(C51,-1,0))</f>
        <v>1</v>
      </c>
      <c r="D51">
        <f ca="1">IF($A51=1,0,IF($A51=2,OFFSET(D51,-1,0)+1,OFFSET(D51,-1,0)))</f>
        <v>6</v>
      </c>
      <c r="E51">
        <f ca="1">IF(AND($A51&lt;=2,$A51&lt;&gt;0),0,IF($A51=3,OFFSET(E51,-1,0)+1,OFFSET(E51,-1,0)))</f>
        <v>0</v>
      </c>
      <c r="F51">
        <f ca="1">IF(AND($A51&lt;=3,$A51&lt;&gt;0),0,IF($A51=4,OFFSET(F51,-1,0)+1,OFFSET(F51,-1,0)))</f>
        <v>0</v>
      </c>
      <c r="G51">
        <f ca="1">IF(AND($A51&lt;=4,$A51&lt;&gt;0),0,IF($A51="S",OFFSET(G51,-1,0)+1,OFFSET(G51,-1,0)))</f>
        <v>4</v>
      </c>
      <c r="H51">
        <f ca="1" t="shared" si="68"/>
        <v>0</v>
      </c>
      <c r="I51">
        <f ca="1" t="shared" si="69"/>
        <v>0</v>
      </c>
      <c r="J51" s="120" t="s">
        <v>103</v>
      </c>
      <c r="K51" s="162" t="str">
        <f ca="1">IF($A51=0,"-",CONCATENATE(C51&amp;".",IF(AND($A$5&gt;=2,$A51&gt;=2),D51&amp;".",""),IF(AND($A$5&gt;=3,$A51&gt;=3),E51&amp;".",""),IF(AND($A$5&gt;=4,$A51&gt;=4),F51&amp;".",""),IF($A51="S",G51&amp;".","")))</f>
        <v>1.6.4.</v>
      </c>
      <c r="L51" s="209" t="s">
        <v>228</v>
      </c>
      <c r="M51" s="209" t="s">
        <v>275</v>
      </c>
      <c r="N51" s="230" t="str">
        <f ca="1">IF($A51="S",Referencia.Descricao,"(digite a descrição aqui)")</f>
        <v>EMBOÇO, PARA RECEBIMENTO DE CERÂMICA, EM ARGAMASSA TRAÇO 1:2:8, PREPARO MECÂNICO COM BETONEIRA 400L, APLICADO MANUALMENTE EM FACES INTERNAS DE PAREDES, PARA AMBIENTE COM ÁREA  MAIOR QUE 10M2, ESPESSURA DE 20MM, COM EXECUÇÃO DE TALISCAS. AF_06/2014</v>
      </c>
      <c r="O51" s="229" t="str">
        <f ca="1">Referencia.Unidade</f>
        <v>M2</v>
      </c>
      <c r="P51" s="232">
        <f ca="1">OFFSET(PLQ!$E$12,ROW($P51)-ROW(P$12),0)</f>
        <v>613.08</v>
      </c>
      <c r="Q51" s="228">
        <v>30.11</v>
      </c>
      <c r="R51" s="231" t="s">
        <v>7</v>
      </c>
      <c r="S51" s="121">
        <f ca="1">IF($A51="S",IF($Q$10="Preço Unitário (R$)",PO.CustoUnitario,ROUND(PO.CustoUnitario*(1+$Z51),15-13*$X$6)),0)</f>
        <v>36.31</v>
      </c>
      <c r="T51" s="98">
        <f ca="1">IF($A51="S",VTOTAL1,IF($A51=0,0,ROUND(SomaAgrup,15-13*$X$7)))</f>
        <v>22260.93</v>
      </c>
      <c r="U51" s="13" t="str">
        <f ca="1">IF($J51="","",IF($N51="","DESCRIÇÃO",IF(AND($J51="Serviço",$O51=""),"UNIDADE",IF($T51&lt;=0,"SEM VALOR",IF(AND($Y51&lt;&gt;"",$Q51&gt;$Y51),"ACIMA REF.","")))))</f>
        <v/>
      </c>
      <c r="V51" s="4" t="str">
        <f ca="1">IF(OR($A51=0,$A51="S",$A51&gt;CFF!$A$9),"",MAX(V$12:OFFSET(V51,-1,0))+1)</f>
        <v/>
      </c>
      <c r="W51" s="9" t="str">
        <f>IF(AND($J51="Serviço",$M51&lt;&gt;""),IF($L51="",$M51,CONCATENATE($L51,"-",$M51)))</f>
        <v>Sinapi-87535</v>
      </c>
      <c r="X51" s="4">
        <f ca="1">IF(AND(Fonte&lt;&gt;"",Código&lt;&gt;""),MATCH(Fonte&amp;" "&amp;IF(Fonte="sinapi",SUBSTITUTE(SUBSTITUTE(Código,"/00","/"),"/0","/"),Código),INDIRECT("'[Referência "&amp;_XLNM.DATABASE&amp;".xls]Banco'!$a:$a"),0),"X")</f>
        <v>6300</v>
      </c>
      <c r="Y51" s="121">
        <f ca="1">IF(Import.Desoneracao="sim",Referencia.Desonerado,Referencia.NaoDesonerado)</f>
        <v>30.11</v>
      </c>
      <c r="Z51" s="132">
        <f ca="1">ROUND(IF(ISNUMBER(R51),R51,IF(LEFT(R51,3)="BDI",HLOOKUP(R51,DADOS!$T$37:$X$38,2,FALSE),0)),15-11*$X$5)</f>
        <v>0.206</v>
      </c>
      <c r="AA51" s="4"/>
    </row>
    <row r="52" spans="1:27" ht="12.75">
      <c r="A52">
        <f t="shared" si="58"/>
        <v>2</v>
      </c>
      <c r="B52">
        <f ca="1" t="shared" si="59"/>
        <v>5</v>
      </c>
      <c r="C52">
        <f ca="1" t="shared" si="60"/>
        <v>1</v>
      </c>
      <c r="D52">
        <f ca="1" t="shared" si="61"/>
        <v>7</v>
      </c>
      <c r="E52">
        <f ca="1" t="shared" si="62"/>
        <v>0</v>
      </c>
      <c r="F52">
        <f ca="1" t="shared" si="63"/>
        <v>0</v>
      </c>
      <c r="G52">
        <f ca="1" t="shared" si="64"/>
        <v>0</v>
      </c>
      <c r="H52">
        <f ca="1" t="shared" si="68"/>
        <v>122</v>
      </c>
      <c r="I52">
        <f ca="1" t="shared" si="69"/>
        <v>5</v>
      </c>
      <c r="J52" s="120" t="s">
        <v>100</v>
      </c>
      <c r="K52" s="162" t="str">
        <f ca="1" t="shared" si="65"/>
        <v>1.7.</v>
      </c>
      <c r="L52" s="209"/>
      <c r="M52" s="209"/>
      <c r="N52" s="230" t="s">
        <v>384</v>
      </c>
      <c r="O52" s="229" t="str">
        <f ca="1">Referencia.Unidade</f>
        <v/>
      </c>
      <c r="P52" s="232">
        <f ca="1">OFFSET(PLQ!$E$12,ROW($P52)-ROW(P$12),0)</f>
        <v>0</v>
      </c>
      <c r="Q52" s="228"/>
      <c r="R52" s="231" t="s">
        <v>7</v>
      </c>
      <c r="S52" s="121">
        <f t="shared" si="55"/>
        <v>0</v>
      </c>
      <c r="T52" s="98">
        <f ca="1" t="shared" si="56"/>
        <v>159642.32</v>
      </c>
      <c r="U52" s="13" t="str">
        <f ca="1" t="shared" si="66"/>
        <v/>
      </c>
      <c r="V52" s="4">
        <f ca="1">IF(OR($A52=0,$A52="S",$A52&gt;CFF!$A$9),"",MAX(V$12:OFFSET(V52,-1,0))+1)</f>
        <v>8</v>
      </c>
      <c r="W52" s="9" t="b">
        <f t="shared" si="67"/>
        <v>0</v>
      </c>
      <c r="X52" s="4" t="str">
        <f ca="1" t="shared" si="57"/>
        <v>X</v>
      </c>
      <c r="Y52" s="121">
        <f ca="1">IF(Import.Desoneracao="sim",Referencia.Desonerado,Referencia.NaoDesonerado)</f>
        <v>0</v>
      </c>
      <c r="Z52" s="132">
        <f ca="1">ROUND(IF(ISNUMBER(R52),R52,IF(LEFT(R52,3)="BDI",HLOOKUP(R52,DADOS!$T$37:$X$38,2,FALSE),0)),15-11*$X$5)</f>
        <v>0.206</v>
      </c>
      <c r="AA52" s="4"/>
    </row>
    <row r="53" spans="1:27" ht="39.6">
      <c r="A53" t="str">
        <f t="shared" si="58"/>
        <v>S</v>
      </c>
      <c r="B53">
        <f t="shared" si="59"/>
        <v>0</v>
      </c>
      <c r="C53">
        <f ca="1" t="shared" si="60"/>
        <v>1</v>
      </c>
      <c r="D53">
        <f ca="1" t="shared" si="61"/>
        <v>7</v>
      </c>
      <c r="E53">
        <f ca="1" t="shared" si="62"/>
        <v>0</v>
      </c>
      <c r="F53">
        <f ca="1" t="shared" si="63"/>
        <v>0</v>
      </c>
      <c r="G53">
        <f ca="1" t="shared" si="64"/>
        <v>1</v>
      </c>
      <c r="H53">
        <f ca="1" t="shared" si="68"/>
        <v>0</v>
      </c>
      <c r="I53">
        <f ca="1" t="shared" si="69"/>
        <v>0</v>
      </c>
      <c r="J53" s="120" t="s">
        <v>103</v>
      </c>
      <c r="K53" s="162" t="str">
        <f ca="1" t="shared" si="65"/>
        <v>1.7.1.</v>
      </c>
      <c r="L53" s="209" t="s">
        <v>228</v>
      </c>
      <c r="M53" s="209" t="s">
        <v>276</v>
      </c>
      <c r="N53" s="230" t="str">
        <f ca="1">IF($A53="S",Referencia.Descricao,"(digite a descrição aqui)")</f>
        <v>MONTAGEM E DESMONTAGEM DE FÔRMA DE VIGA, ESCORAMENTO COM GARFO DE MADEIRA, PÉ-DIREITO SIMPLES, EM CHAPA DE MADEIRA PLASTIFICADA, 18 UTILIZAÇÕES. AF_09/2020</v>
      </c>
      <c r="O53" s="229" t="str">
        <f ca="1">Referencia.Unidade</f>
        <v>M2</v>
      </c>
      <c r="P53" s="232">
        <f ca="1">OFFSET(PLQ!$E$12,ROW($P53)-ROW(P$12),0)</f>
        <v>699.66</v>
      </c>
      <c r="Q53" s="228">
        <v>72.91</v>
      </c>
      <c r="R53" s="231" t="s">
        <v>7</v>
      </c>
      <c r="S53" s="121">
        <f ca="1" t="shared" si="55"/>
        <v>87.93</v>
      </c>
      <c r="T53" s="98">
        <f ca="1" t="shared" si="56"/>
        <v>61521.1</v>
      </c>
      <c r="U53" s="13" t="str">
        <f ca="1" t="shared" si="66"/>
        <v/>
      </c>
      <c r="V53" s="4" t="str">
        <f ca="1">IF(OR($A53=0,$A53="S",$A53&gt;CFF!$A$9),"",MAX(V$12:OFFSET(V53,-1,0))+1)</f>
        <v/>
      </c>
      <c r="W53" s="9" t="str">
        <f t="shared" si="67"/>
        <v>Sinapi-92479</v>
      </c>
      <c r="X53" s="4">
        <f ca="1" t="shared" si="57"/>
        <v>2274</v>
      </c>
      <c r="Y53" s="121">
        <f ca="1">IF(Import.Desoneracao="sim",Referencia.Desonerado,Referencia.NaoDesonerado)</f>
        <v>72.91</v>
      </c>
      <c r="Z53" s="132">
        <f ca="1">ROUND(IF(ISNUMBER(R53),R53,IF(LEFT(R53,3)="BDI",HLOOKUP(R53,DADOS!$T$37:$X$38,2,FALSE),0)),15-11*$X$5)</f>
        <v>0.206</v>
      </c>
      <c r="AA53" s="4"/>
    </row>
    <row r="54" spans="1:27" ht="26.4">
      <c r="A54" t="str">
        <f t="shared" si="58"/>
        <v>S</v>
      </c>
      <c r="B54">
        <f t="shared" si="59"/>
        <v>0</v>
      </c>
      <c r="C54">
        <f ca="1" t="shared" si="60"/>
        <v>1</v>
      </c>
      <c r="D54">
        <f ca="1" t="shared" si="61"/>
        <v>7</v>
      </c>
      <c r="E54">
        <f ca="1" t="shared" si="62"/>
        <v>0</v>
      </c>
      <c r="F54">
        <f ca="1" t="shared" si="63"/>
        <v>0</v>
      </c>
      <c r="G54">
        <f ca="1" t="shared" si="64"/>
        <v>2</v>
      </c>
      <c r="H54">
        <f ca="1" t="shared" si="68"/>
        <v>0</v>
      </c>
      <c r="I54">
        <f ca="1" t="shared" si="69"/>
        <v>0</v>
      </c>
      <c r="J54" s="120" t="s">
        <v>103</v>
      </c>
      <c r="K54" s="162" t="str">
        <f ca="1" t="shared" si="65"/>
        <v>1.7.2.</v>
      </c>
      <c r="L54" s="209" t="s">
        <v>228</v>
      </c>
      <c r="M54" s="209" t="s">
        <v>259</v>
      </c>
      <c r="N54" s="230" t="str">
        <f ca="1">IF($A54="S",Referencia.Descricao,"(digite a descrição aqui)")</f>
        <v>ARMAÇÃO DE PILAR OU VIGA DE ESTRUTURA CONVENCIONAL DE CONCRETO ARMADO UTILIZANDO AÇO CA-50 DE 10,0 MM - MONTAGEM. AF_06/2022</v>
      </c>
      <c r="O54" s="229" t="str">
        <f ca="1">Referencia.Unidade</f>
        <v>KG</v>
      </c>
      <c r="P54" s="232">
        <f ca="1">OFFSET(PLQ!$E$12,ROW($P54)-ROW(P$12),0)</f>
        <v>2749.37</v>
      </c>
      <c r="Q54" s="228">
        <v>11.85</v>
      </c>
      <c r="R54" s="231" t="s">
        <v>7</v>
      </c>
      <c r="S54" s="121">
        <f ca="1" t="shared" si="55"/>
        <v>14.29</v>
      </c>
      <c r="T54" s="98">
        <f ca="1" t="shared" si="56"/>
        <v>39288.5</v>
      </c>
      <c r="U54" s="13" t="str">
        <f ca="1" t="shared" si="66"/>
        <v/>
      </c>
      <c r="V54" s="4" t="str">
        <f ca="1">IF(OR($A54=0,$A54="S",$A54&gt;CFF!$A$9),"",MAX(V$12:OFFSET(V54,-1,0))+1)</f>
        <v/>
      </c>
      <c r="W54" s="9" t="str">
        <f t="shared" si="67"/>
        <v>Sinapi-92762</v>
      </c>
      <c r="X54" s="4">
        <f ca="1" t="shared" si="57"/>
        <v>2439</v>
      </c>
      <c r="Y54" s="121">
        <f ca="1">IF(Import.Desoneracao="sim",Referencia.Desonerado,Referencia.NaoDesonerado)</f>
        <v>11.85</v>
      </c>
      <c r="Z54" s="132">
        <f ca="1">ROUND(IF(ISNUMBER(R54),R54,IF(LEFT(R54,3)="BDI",HLOOKUP(R54,DADOS!$T$37:$X$38,2,FALSE),0)),15-11*$X$5)</f>
        <v>0.206</v>
      </c>
      <c r="AA54" s="4"/>
    </row>
    <row r="55" spans="1:27" ht="26.4">
      <c r="A55" t="str">
        <f t="shared" si="58"/>
        <v>S</v>
      </c>
      <c r="B55">
        <f t="shared" si="59"/>
        <v>0</v>
      </c>
      <c r="C55">
        <f ca="1" t="shared" si="60"/>
        <v>1</v>
      </c>
      <c r="D55">
        <f ca="1" t="shared" si="61"/>
        <v>7</v>
      </c>
      <c r="E55">
        <f ca="1" t="shared" si="62"/>
        <v>0</v>
      </c>
      <c r="F55">
        <f ca="1" t="shared" si="63"/>
        <v>0</v>
      </c>
      <c r="G55">
        <f ca="1" t="shared" si="64"/>
        <v>3</v>
      </c>
      <c r="H55">
        <f ca="1" t="shared" si="68"/>
        <v>0</v>
      </c>
      <c r="I55">
        <f ca="1" t="shared" si="69"/>
        <v>0</v>
      </c>
      <c r="J55" s="120" t="s">
        <v>103</v>
      </c>
      <c r="K55" s="162" t="str">
        <f ca="1" t="shared" si="65"/>
        <v>1.7.3.</v>
      </c>
      <c r="L55" s="209" t="s">
        <v>228</v>
      </c>
      <c r="M55" s="209" t="s">
        <v>269</v>
      </c>
      <c r="N55" s="230" t="str">
        <f ca="1">IF($A55="S",Referencia.Descricao,"(digite a descrição aqui)")</f>
        <v>ARMAÇÃO DE PILAR OU VIGA DE ESTRUTURA CONVENCIONAL DE CONCRETO ARMADO UTILIZANDO AÇO CA-60 DE 5,0 MM - MONTAGEM. AF_06/2022</v>
      </c>
      <c r="O55" s="229" t="str">
        <f ca="1">Referencia.Unidade</f>
        <v>KG</v>
      </c>
      <c r="P55" s="232">
        <f ca="1">OFFSET(PLQ!$E$12,ROW($P55)-ROW(P$12),0)</f>
        <v>920.01</v>
      </c>
      <c r="Q55" s="228">
        <v>14.49</v>
      </c>
      <c r="R55" s="231" t="s">
        <v>7</v>
      </c>
      <c r="S55" s="121">
        <f ca="1" t="shared" si="55"/>
        <v>17.47</v>
      </c>
      <c r="T55" s="98">
        <f ca="1" t="shared" si="56"/>
        <v>16072.57</v>
      </c>
      <c r="U55" s="13" t="str">
        <f ca="1" t="shared" si="66"/>
        <v/>
      </c>
      <c r="V55" s="4" t="str">
        <f ca="1">IF(OR($A55=0,$A55="S",$A55&gt;CFF!$A$9),"",MAX(V$12:OFFSET(V55,-1,0))+1)</f>
        <v/>
      </c>
      <c r="W55" s="9" t="str">
        <f t="shared" si="67"/>
        <v>Sinapi-92759</v>
      </c>
      <c r="X55" s="4">
        <f ca="1" t="shared" si="57"/>
        <v>2436</v>
      </c>
      <c r="Y55" s="121">
        <f ca="1">IF(Import.Desoneracao="sim",Referencia.Desonerado,Referencia.NaoDesonerado)</f>
        <v>14.49</v>
      </c>
      <c r="Z55" s="132">
        <f ca="1">ROUND(IF(ISNUMBER(R55),R55,IF(LEFT(R55,3)="BDI",HLOOKUP(R55,DADOS!$T$37:$X$38,2,FALSE),0)),15-11*$X$5)</f>
        <v>0.206</v>
      </c>
      <c r="AA55" s="4"/>
    </row>
    <row r="56" spans="1:27" ht="26.4">
      <c r="A56" t="str">
        <f t="shared" si="58"/>
        <v>S</v>
      </c>
      <c r="B56">
        <f t="shared" si="59"/>
        <v>0</v>
      </c>
      <c r="C56">
        <f ca="1" t="shared" si="60"/>
        <v>1</v>
      </c>
      <c r="D56">
        <f ca="1" t="shared" si="61"/>
        <v>7</v>
      </c>
      <c r="E56">
        <f ca="1" t="shared" si="62"/>
        <v>0</v>
      </c>
      <c r="F56">
        <f ca="1" t="shared" si="63"/>
        <v>0</v>
      </c>
      <c r="G56">
        <f ca="1" t="shared" si="64"/>
        <v>4</v>
      </c>
      <c r="H56">
        <f ca="1" t="shared" si="68"/>
        <v>0</v>
      </c>
      <c r="I56">
        <f ca="1" t="shared" si="69"/>
        <v>0</v>
      </c>
      <c r="J56" s="120" t="s">
        <v>103</v>
      </c>
      <c r="K56" s="162" t="str">
        <f ca="1" t="shared" si="65"/>
        <v>1.7.4.</v>
      </c>
      <c r="L56" s="209" t="s">
        <v>228</v>
      </c>
      <c r="M56" s="209" t="s">
        <v>277</v>
      </c>
      <c r="N56" s="230" t="str">
        <f ca="1">IF($A56="S",Referencia.Descricao,"(digite a descrição aqui)")</f>
        <v>CONCRETAGEM DE VIGAS E LAJES, FCK=25 MPA, PARA LAJES PREMOLDADAS COM USO DE BOMBA - LANÇAMENTO, ADENSAMENTO E ACABAMENTO. AF_02/2022_PS</v>
      </c>
      <c r="O56" s="229" t="str">
        <f ca="1">Referencia.Unidade</f>
        <v>M3</v>
      </c>
      <c r="P56" s="232">
        <f ca="1">OFFSET(PLQ!$E$12,ROW($P56)-ROW(P$12),0)</f>
        <v>55.9</v>
      </c>
      <c r="Q56" s="228">
        <v>634.28</v>
      </c>
      <c r="R56" s="231" t="s">
        <v>7</v>
      </c>
      <c r="S56" s="121">
        <f ca="1" t="shared" si="55"/>
        <v>764.94</v>
      </c>
      <c r="T56" s="98">
        <f ca="1" t="shared" si="56"/>
        <v>42760.15</v>
      </c>
      <c r="U56" s="13" t="str">
        <f ca="1" t="shared" si="66"/>
        <v/>
      </c>
      <c r="V56" s="4" t="str">
        <f ca="1">IF(OR($A56=0,$A56="S",$A56&gt;CFF!$A$9),"",MAX(V$12:OFFSET(V56,-1,0))+1)</f>
        <v/>
      </c>
      <c r="W56" s="9" t="str">
        <f t="shared" si="67"/>
        <v>Sinapi-103674</v>
      </c>
      <c r="X56" s="4">
        <f ca="1" t="shared" si="57"/>
        <v>2586</v>
      </c>
      <c r="Y56" s="121">
        <f ca="1">IF(Import.Desoneracao="sim",Referencia.Desonerado,Referencia.NaoDesonerado)</f>
        <v>634.28</v>
      </c>
      <c r="Z56" s="132">
        <f ca="1">ROUND(IF(ISNUMBER(R56),R56,IF(LEFT(R56,3)="BDI",HLOOKUP(R56,DADOS!$T$37:$X$38,2,FALSE),0)),15-11*$X$5)</f>
        <v>0.206</v>
      </c>
      <c r="AA56" s="4"/>
    </row>
    <row r="57" spans="1:27" ht="12.75">
      <c r="A57">
        <f t="shared" si="58"/>
        <v>2</v>
      </c>
      <c r="B57">
        <f ca="1" t="shared" si="59"/>
        <v>4</v>
      </c>
      <c r="C57">
        <f ca="1" t="shared" si="60"/>
        <v>1</v>
      </c>
      <c r="D57">
        <f ca="1" t="shared" si="61"/>
        <v>8</v>
      </c>
      <c r="E57">
        <f ca="1" t="shared" si="62"/>
        <v>0</v>
      </c>
      <c r="F57">
        <f ca="1" t="shared" si="63"/>
        <v>0</v>
      </c>
      <c r="G57">
        <f ca="1" t="shared" si="64"/>
        <v>0</v>
      </c>
      <c r="H57">
        <f ca="1" t="shared" si="68"/>
        <v>117</v>
      </c>
      <c r="I57">
        <f ca="1" t="shared" si="69"/>
        <v>4</v>
      </c>
      <c r="J57" s="120" t="s">
        <v>100</v>
      </c>
      <c r="K57" s="162" t="str">
        <f ca="1" t="shared" si="65"/>
        <v>1.8.</v>
      </c>
      <c r="L57" s="209"/>
      <c r="M57" s="209"/>
      <c r="N57" s="230" t="s">
        <v>278</v>
      </c>
      <c r="O57" s="229" t="str">
        <f ca="1">Referencia.Unidade</f>
        <v/>
      </c>
      <c r="P57" s="232">
        <f ca="1">OFFSET(PLQ!$E$12,ROW($P57)-ROW(P$12),0)</f>
        <v>0</v>
      </c>
      <c r="Q57" s="228"/>
      <c r="R57" s="231" t="s">
        <v>7</v>
      </c>
      <c r="S57" s="121">
        <f t="shared" si="55"/>
        <v>0</v>
      </c>
      <c r="T57" s="98">
        <f ca="1" t="shared" si="56"/>
        <v>45060.06</v>
      </c>
      <c r="U57" s="13" t="str">
        <f ca="1" t="shared" si="66"/>
        <v/>
      </c>
      <c r="V57" s="4">
        <f ca="1">IF(OR($A57=0,$A57="S",$A57&gt;CFF!$A$9),"",MAX(V$12:OFFSET(V57,-1,0))+1)</f>
        <v>9</v>
      </c>
      <c r="W57" s="9" t="b">
        <f t="shared" si="67"/>
        <v>0</v>
      </c>
      <c r="X57" s="4" t="str">
        <f ca="1" t="shared" si="57"/>
        <v>X</v>
      </c>
      <c r="Y57" s="121">
        <f ca="1">IF(Import.Desoneracao="sim",Referencia.Desonerado,Referencia.NaoDesonerado)</f>
        <v>0</v>
      </c>
      <c r="Z57" s="132">
        <f ca="1">ROUND(IF(ISNUMBER(R57),R57,IF(LEFT(R57,3)="BDI",HLOOKUP(R57,DADOS!$T$37:$X$38,2,FALSE),0)),15-11*$X$5)</f>
        <v>0.206</v>
      </c>
      <c r="AA57" s="4"/>
    </row>
    <row r="58" spans="1:27" ht="39.6">
      <c r="A58" t="str">
        <f t="shared" si="58"/>
        <v>S</v>
      </c>
      <c r="B58">
        <f t="shared" si="59"/>
        <v>0</v>
      </c>
      <c r="C58">
        <f ca="1" t="shared" si="60"/>
        <v>1</v>
      </c>
      <c r="D58">
        <f ca="1" t="shared" si="61"/>
        <v>8</v>
      </c>
      <c r="E58">
        <f ca="1" t="shared" si="62"/>
        <v>0</v>
      </c>
      <c r="F58">
        <f ca="1" t="shared" si="63"/>
        <v>0</v>
      </c>
      <c r="G58">
        <f ca="1" t="shared" si="64"/>
        <v>1</v>
      </c>
      <c r="H58">
        <f ca="1" t="shared" si="68"/>
        <v>0</v>
      </c>
      <c r="I58">
        <f ca="1" t="shared" si="69"/>
        <v>0</v>
      </c>
      <c r="J58" s="120" t="s">
        <v>103</v>
      </c>
      <c r="K58" s="162" t="str">
        <f ca="1" t="shared" si="65"/>
        <v>1.8.1.</v>
      </c>
      <c r="L58" s="209" t="s">
        <v>228</v>
      </c>
      <c r="M58" s="209" t="s">
        <v>279</v>
      </c>
      <c r="N58" s="230" t="str">
        <f ca="1">IF($A58="S",Referencia.Descricao,"(digite a descrição aqui)")</f>
        <v>LAJE PRÉ-MOLDADA UNIDIRECIONAL, BIAPOIADA, PARA FORRO, ENCHIMENTO EM CERÂMICA, VIGOTA CONVENCIONAL, ALTURA TOTAL DA LAJE (ENCHIMENTO+CAPA) = (8+3). AF_11/2020</v>
      </c>
      <c r="O58" s="229" t="str">
        <f ca="1">Referencia.Unidade</f>
        <v>M2</v>
      </c>
      <c r="P58" s="232">
        <f ca="1">OFFSET(PLQ!$E$12,ROW($P58)-ROW(P$12),0)</f>
        <v>185.12</v>
      </c>
      <c r="Q58" s="228">
        <v>159.14</v>
      </c>
      <c r="R58" s="231" t="s">
        <v>7</v>
      </c>
      <c r="S58" s="121">
        <f ca="1" t="shared" si="55"/>
        <v>191.92</v>
      </c>
      <c r="T58" s="98">
        <f ca="1" t="shared" si="56"/>
        <v>35528.23</v>
      </c>
      <c r="U58" s="13" t="str">
        <f ca="1" t="shared" si="66"/>
        <v/>
      </c>
      <c r="V58" s="4" t="str">
        <f ca="1">IF(OR($A58=0,$A58="S",$A58&gt;CFF!$A$9),"",MAX(V$12:OFFSET(V58,-1,0))+1)</f>
        <v/>
      </c>
      <c r="W58" s="9" t="str">
        <f t="shared" si="67"/>
        <v>Sinapi-101964</v>
      </c>
      <c r="X58" s="4">
        <f ca="1" t="shared" si="57"/>
        <v>2602</v>
      </c>
      <c r="Y58" s="121">
        <f ca="1">IF(Import.Desoneracao="sim",Referencia.Desonerado,Referencia.NaoDesonerado)</f>
        <v>159.14</v>
      </c>
      <c r="Z58" s="132">
        <f ca="1">ROUND(IF(ISNUMBER(R58),R58,IF(LEFT(R58,3)="BDI",HLOOKUP(R58,DADOS!$T$37:$X$38,2,FALSE),0)),15-11*$X$5)</f>
        <v>0.206</v>
      </c>
      <c r="AA58" s="4"/>
    </row>
    <row r="59" spans="1:27" ht="39.6">
      <c r="A59" t="str">
        <f t="shared" si="58"/>
        <v>S</v>
      </c>
      <c r="B59">
        <f t="shared" si="59"/>
        <v>0</v>
      </c>
      <c r="C59">
        <f ca="1" t="shared" si="60"/>
        <v>1</v>
      </c>
      <c r="D59">
        <f ca="1" t="shared" si="61"/>
        <v>8</v>
      </c>
      <c r="E59">
        <f ca="1" t="shared" si="62"/>
        <v>0</v>
      </c>
      <c r="F59">
        <f ca="1" t="shared" si="63"/>
        <v>0</v>
      </c>
      <c r="G59">
        <f ca="1" t="shared" si="64"/>
        <v>2</v>
      </c>
      <c r="H59">
        <f ca="1" t="shared" si="68"/>
        <v>0</v>
      </c>
      <c r="I59">
        <f ca="1" t="shared" si="69"/>
        <v>0</v>
      </c>
      <c r="J59" s="120" t="s">
        <v>103</v>
      </c>
      <c r="K59" s="162" t="str">
        <f ca="1" t="shared" si="65"/>
        <v>1.8.2.</v>
      </c>
      <c r="L59" s="209" t="s">
        <v>228</v>
      </c>
      <c r="M59" s="209" t="s">
        <v>400</v>
      </c>
      <c r="N59" s="230" t="str">
        <f ca="1">IF($A59="S",Referencia.Descricao,"(digite a descrição aqui)")</f>
        <v>CHAPISCO APLICADO NO TETO OU EM ALVENARIA E ESTRUTURA, COM ROLO PARA TEXTURA ACRÍLICA. ARGAMASSA TRAÇO 1:4 E EMULSÃO POLIMÉRICA (ADESIVO) COM PREPARO EM BETONEIRA 400L. AF_10/2022</v>
      </c>
      <c r="O59" s="229" t="str">
        <f ca="1">Referencia.Unidade</f>
        <v>M2</v>
      </c>
      <c r="P59" s="232">
        <f ca="1">OFFSET(PLQ!$E$12,ROW($P59)-ROW(P$12),0)</f>
        <v>185.12</v>
      </c>
      <c r="Q59" s="228">
        <v>7.58</v>
      </c>
      <c r="R59" s="231" t="s">
        <v>7</v>
      </c>
      <c r="S59" s="121">
        <f ca="1" t="shared" si="55"/>
        <v>9.14</v>
      </c>
      <c r="T59" s="98">
        <f ca="1" t="shared" si="56"/>
        <v>1692</v>
      </c>
      <c r="U59" s="13" t="str">
        <f ca="1" t="shared" si="66"/>
        <v/>
      </c>
      <c r="V59" s="4" t="str">
        <f ca="1">IF(OR($A59=0,$A59="S",$A59&gt;CFF!$A$9),"",MAX(V$12:OFFSET(V59,-1,0))+1)</f>
        <v/>
      </c>
      <c r="W59" s="9" t="str">
        <f t="shared" si="67"/>
        <v>Sinapi-87882</v>
      </c>
      <c r="X59" s="4">
        <f ca="1" t="shared" si="57"/>
        <v>6255</v>
      </c>
      <c r="Y59" s="121">
        <f ca="1">IF(Import.Desoneracao="sim",Referencia.Desonerado,Referencia.NaoDesonerado)</f>
        <v>7.58</v>
      </c>
      <c r="Z59" s="132">
        <f ca="1">ROUND(IF(ISNUMBER(R59),R59,IF(LEFT(R59,3)="BDI",HLOOKUP(R59,DADOS!$T$37:$X$38,2,FALSE),0)),15-11*$X$5)</f>
        <v>0.206</v>
      </c>
      <c r="AA59" s="4"/>
    </row>
    <row r="60" spans="1:27" ht="52.8">
      <c r="A60" t="str">
        <f t="shared" si="58"/>
        <v>S</v>
      </c>
      <c r="B60">
        <f t="shared" si="59"/>
        <v>0</v>
      </c>
      <c r="C60">
        <f ca="1" t="shared" si="60"/>
        <v>1</v>
      </c>
      <c r="D60">
        <f ca="1" t="shared" si="61"/>
        <v>8</v>
      </c>
      <c r="E60">
        <f ca="1" t="shared" si="62"/>
        <v>0</v>
      </c>
      <c r="F60">
        <f ca="1" t="shared" si="63"/>
        <v>0</v>
      </c>
      <c r="G60">
        <f ca="1" t="shared" si="64"/>
        <v>3</v>
      </c>
      <c r="H60">
        <f ca="1" t="shared" si="68"/>
        <v>0</v>
      </c>
      <c r="I60">
        <f ca="1" t="shared" si="69"/>
        <v>0</v>
      </c>
      <c r="J60" s="120" t="s">
        <v>103</v>
      </c>
      <c r="K60" s="162" t="str">
        <f ca="1" t="shared" si="65"/>
        <v>1.8.3.</v>
      </c>
      <c r="L60" s="209" t="s">
        <v>228</v>
      </c>
      <c r="M60" s="209" t="s">
        <v>298</v>
      </c>
      <c r="N60" s="230" t="str">
        <f ca="1">IF($A60="S",Referencia.Descricao,"(digite a descrição aqui)")</f>
        <v>MASSA ÚNICA, PARA RECEBIMENTO DE PINTURA, EM ARGAMASSA TRAÇO 1:2:8, PREPARO MECÂNICO COM BETONEIRA 400L, APLICADA MANUALMENTE EM FACES INTERNAS DE PAREDES, ESPESSURA DE 20MM, COM EXECUÇÃO DE TALISCAS. AF_06/2014</v>
      </c>
      <c r="O60" s="229" t="str">
        <f ca="1">Referencia.Unidade</f>
        <v>M2</v>
      </c>
      <c r="P60" s="232">
        <f ca="1">OFFSET(PLQ!$E$12,ROW($P60)-ROW(P$12),0)</f>
        <v>185.12</v>
      </c>
      <c r="Q60" s="228">
        <v>35.12</v>
      </c>
      <c r="R60" s="231" t="s">
        <v>7</v>
      </c>
      <c r="S60" s="121">
        <f ca="1" t="shared" si="55"/>
        <v>42.35</v>
      </c>
      <c r="T60" s="98">
        <f ca="1" t="shared" si="56"/>
        <v>7839.83</v>
      </c>
      <c r="U60" s="13" t="str">
        <f ca="1" t="shared" si="66"/>
        <v/>
      </c>
      <c r="V60" s="4" t="str">
        <f ca="1">IF(OR($A60=0,$A60="S",$A60&gt;CFF!$A$9),"",MAX(V$12:OFFSET(V60,-1,0))+1)</f>
        <v/>
      </c>
      <c r="W60" s="9" t="str">
        <f t="shared" si="67"/>
        <v>Sinapi-87529</v>
      </c>
      <c r="X60" s="4">
        <f ca="1" t="shared" si="57"/>
        <v>6296</v>
      </c>
      <c r="Y60" s="121">
        <f ca="1">IF(Import.Desoneracao="sim",Referencia.Desonerado,Referencia.NaoDesonerado)</f>
        <v>35.12</v>
      </c>
      <c r="Z60" s="132">
        <f ca="1">ROUND(IF(ISNUMBER(R60),R60,IF(LEFT(R60,3)="BDI",HLOOKUP(R60,DADOS!$T$37:$X$38,2,FALSE),0)),15-11*$X$5)</f>
        <v>0.206</v>
      </c>
      <c r="AA60" s="4"/>
    </row>
    <row r="61" spans="1:27" ht="12.75">
      <c r="A61">
        <f t="shared" si="58"/>
        <v>2</v>
      </c>
      <c r="B61">
        <f ca="1" t="shared" si="59"/>
        <v>4</v>
      </c>
      <c r="C61">
        <f ca="1" t="shared" si="60"/>
        <v>1</v>
      </c>
      <c r="D61">
        <f ca="1" t="shared" si="61"/>
        <v>9</v>
      </c>
      <c r="E61">
        <f ca="1" t="shared" si="62"/>
        <v>0</v>
      </c>
      <c r="F61">
        <f ca="1" t="shared" si="63"/>
        <v>0</v>
      </c>
      <c r="G61">
        <f ca="1" t="shared" si="64"/>
        <v>0</v>
      </c>
      <c r="H61">
        <f ca="1" t="shared" si="68"/>
        <v>113</v>
      </c>
      <c r="I61">
        <f ca="1" t="shared" si="69"/>
        <v>4</v>
      </c>
      <c r="J61" s="120" t="s">
        <v>100</v>
      </c>
      <c r="K61" s="162" t="str">
        <f ca="1" t="shared" si="65"/>
        <v>1.9.</v>
      </c>
      <c r="L61" s="209"/>
      <c r="M61" s="209"/>
      <c r="N61" s="230" t="s">
        <v>280</v>
      </c>
      <c r="O61" s="229" t="str">
        <f ca="1">Referencia.Unidade</f>
        <v/>
      </c>
      <c r="P61" s="232">
        <f ca="1">OFFSET(PLQ!$E$12,ROW($P61)-ROW(P$12),0)</f>
        <v>0</v>
      </c>
      <c r="Q61" s="228"/>
      <c r="R61" s="231" t="s">
        <v>7</v>
      </c>
      <c r="S61" s="121">
        <f t="shared" si="55"/>
        <v>0</v>
      </c>
      <c r="T61" s="98">
        <f ca="1" t="shared" si="56"/>
        <v>13611.43</v>
      </c>
      <c r="U61" s="13" t="str">
        <f ca="1" t="shared" si="66"/>
        <v/>
      </c>
      <c r="V61" s="4">
        <f ca="1">IF(OR($A61=0,$A61="S",$A61&gt;CFF!$A$9),"",MAX(V$12:OFFSET(V61,-1,0))+1)</f>
        <v>10</v>
      </c>
      <c r="W61" s="9" t="b">
        <f t="shared" si="67"/>
        <v>0</v>
      </c>
      <c r="X61" s="4" t="str">
        <f ca="1" t="shared" si="57"/>
        <v>X</v>
      </c>
      <c r="Y61" s="121">
        <f ca="1">IF(Import.Desoneracao="sim",Referencia.Desonerado,Referencia.NaoDesonerado)</f>
        <v>0</v>
      </c>
      <c r="Z61" s="132">
        <f ca="1">ROUND(IF(ISNUMBER(R61),R61,IF(LEFT(R61,3)="BDI",HLOOKUP(R61,DADOS!$T$37:$X$38,2,FALSE),0)),15-11*$X$5)</f>
        <v>0.206</v>
      </c>
      <c r="AA61" s="4"/>
    </row>
    <row r="62" spans="1:27" ht="12.75">
      <c r="A62" t="str">
        <f t="shared" si="58"/>
        <v>S</v>
      </c>
      <c r="B62">
        <f t="shared" si="59"/>
        <v>0</v>
      </c>
      <c r="C62">
        <f ca="1" t="shared" si="60"/>
        <v>1</v>
      </c>
      <c r="D62">
        <f ca="1" t="shared" si="61"/>
        <v>9</v>
      </c>
      <c r="E62">
        <f ca="1" t="shared" si="62"/>
        <v>0</v>
      </c>
      <c r="F62">
        <f ca="1" t="shared" si="63"/>
        <v>0</v>
      </c>
      <c r="G62">
        <f ca="1" t="shared" si="64"/>
        <v>1</v>
      </c>
      <c r="H62">
        <f ca="1" t="shared" si="68"/>
        <v>0</v>
      </c>
      <c r="I62">
        <f ca="1" t="shared" si="69"/>
        <v>0</v>
      </c>
      <c r="J62" s="120" t="s">
        <v>103</v>
      </c>
      <c r="K62" s="162" t="str">
        <f ca="1" t="shared" si="65"/>
        <v>1.9.1.</v>
      </c>
      <c r="L62" s="209" t="s">
        <v>228</v>
      </c>
      <c r="M62" s="209" t="s">
        <v>281</v>
      </c>
      <c r="N62" s="230" t="str">
        <f ca="1">IF($A62="S",Referencia.Descricao,"(digite a descrição aqui)")</f>
        <v>VERGA PRÉ-MOLDADA PARA JANELAS COM MAIS DE 1,5 M DE VÃO. AF_03/2016</v>
      </c>
      <c r="O62" s="229" t="str">
        <f ca="1">Referencia.Unidade</f>
        <v>M</v>
      </c>
      <c r="P62" s="232">
        <f ca="1">OFFSET(PLQ!$E$12,ROW($P62)-ROW(P$12),0)</f>
        <v>20.8</v>
      </c>
      <c r="Q62" s="228">
        <v>50.59</v>
      </c>
      <c r="R62" s="231" t="s">
        <v>7</v>
      </c>
      <c r="S62" s="121">
        <f ca="1" t="shared" si="55"/>
        <v>61.01</v>
      </c>
      <c r="T62" s="98">
        <f ca="1" t="shared" si="56"/>
        <v>1269.01</v>
      </c>
      <c r="U62" s="13" t="str">
        <f ca="1" t="shared" si="66"/>
        <v/>
      </c>
      <c r="V62" s="4" t="str">
        <f ca="1">IF(OR($A62=0,$A62="S",$A62&gt;CFF!$A$9),"",MAX(V$12:OFFSET(V62,-1,0))+1)</f>
        <v/>
      </c>
      <c r="W62" s="9" t="str">
        <f t="shared" si="67"/>
        <v>Sinapi-93183</v>
      </c>
      <c r="X62" s="4">
        <f ca="1" t="shared" si="57"/>
        <v>2609</v>
      </c>
      <c r="Y62" s="121">
        <f ca="1">IF(Import.Desoneracao="sim",Referencia.Desonerado,Referencia.NaoDesonerado)</f>
        <v>50.59</v>
      </c>
      <c r="Z62" s="132">
        <f ca="1">ROUND(IF(ISNUMBER(R62),R62,IF(LEFT(R62,3)="BDI",HLOOKUP(R62,DADOS!$T$37:$X$38,2,FALSE),0)),15-11*$X$5)</f>
        <v>0.206</v>
      </c>
      <c r="AA62" s="4"/>
    </row>
    <row r="63" spans="1:27" ht="12.75">
      <c r="A63" t="str">
        <f t="shared" si="58"/>
        <v>S</v>
      </c>
      <c r="B63">
        <f t="shared" si="59"/>
        <v>0</v>
      </c>
      <c r="C63">
        <f ca="1" t="shared" si="60"/>
        <v>1</v>
      </c>
      <c r="D63">
        <f ca="1" t="shared" si="61"/>
        <v>9</v>
      </c>
      <c r="E63">
        <f ca="1" t="shared" si="62"/>
        <v>0</v>
      </c>
      <c r="F63">
        <f ca="1" t="shared" si="63"/>
        <v>0</v>
      </c>
      <c r="G63">
        <f ca="1" t="shared" si="64"/>
        <v>2</v>
      </c>
      <c r="H63">
        <f ca="1" t="shared" si="68"/>
        <v>0</v>
      </c>
      <c r="I63">
        <f ca="1" t="shared" si="69"/>
        <v>0</v>
      </c>
      <c r="J63" s="120" t="s">
        <v>103</v>
      </c>
      <c r="K63" s="162" t="str">
        <f ca="1" t="shared" si="65"/>
        <v>1.9.2.</v>
      </c>
      <c r="L63" s="209" t="s">
        <v>228</v>
      </c>
      <c r="M63" s="209" t="s">
        <v>282</v>
      </c>
      <c r="N63" s="230" t="str">
        <f ca="1">IF($A63="S",Referencia.Descricao,"(digite a descrição aqui)")</f>
        <v>VERGA PRÉ-MOLDADA PARA PORTAS COM MAIS DE 1,5 M DE VÃO. AF_03/2016</v>
      </c>
      <c r="O63" s="229" t="str">
        <f ca="1">Referencia.Unidade</f>
        <v>M</v>
      </c>
      <c r="P63" s="232">
        <f ca="1">OFFSET(PLQ!$E$12,ROW($P63)-ROW(P$12),0)</f>
        <v>185.9</v>
      </c>
      <c r="Q63" s="228">
        <v>49.81</v>
      </c>
      <c r="R63" s="231" t="s">
        <v>7</v>
      </c>
      <c r="S63" s="121">
        <f ca="1" t="shared" si="55"/>
        <v>60.07</v>
      </c>
      <c r="T63" s="98">
        <f ca="1" t="shared" si="56"/>
        <v>11167.01</v>
      </c>
      <c r="U63" s="13" t="str">
        <f ca="1" t="shared" si="66"/>
        <v/>
      </c>
      <c r="V63" s="4" t="str">
        <f ca="1">IF(OR($A63=0,$A63="S",$A63&gt;CFF!$A$9),"",MAX(V$12:OFFSET(V63,-1,0))+1)</f>
        <v/>
      </c>
      <c r="W63" s="9" t="str">
        <f t="shared" si="67"/>
        <v>Sinapi-93185</v>
      </c>
      <c r="X63" s="4">
        <f ca="1" t="shared" si="57"/>
        <v>2611</v>
      </c>
      <c r="Y63" s="121">
        <f ca="1">IF(Import.Desoneracao="sim",Referencia.Desonerado,Referencia.NaoDesonerado)</f>
        <v>49.81</v>
      </c>
      <c r="Z63" s="132">
        <f ca="1">ROUND(IF(ISNUMBER(R63),R63,IF(LEFT(R63,3)="BDI",HLOOKUP(R63,DADOS!$T$37:$X$38,2,FALSE),0)),15-11*$X$5)</f>
        <v>0.206</v>
      </c>
      <c r="AA63" s="4"/>
    </row>
    <row r="64" spans="1:27" ht="26.4">
      <c r="A64" t="str">
        <f t="shared" si="58"/>
        <v>S</v>
      </c>
      <c r="B64">
        <f t="shared" si="59"/>
        <v>0</v>
      </c>
      <c r="C64">
        <f ca="1" t="shared" si="60"/>
        <v>1</v>
      </c>
      <c r="D64">
        <f ca="1" t="shared" si="61"/>
        <v>9</v>
      </c>
      <c r="E64">
        <f ca="1" t="shared" si="62"/>
        <v>0</v>
      </c>
      <c r="F64">
        <f ca="1" t="shared" si="63"/>
        <v>0</v>
      </c>
      <c r="G64">
        <f ca="1" t="shared" si="64"/>
        <v>3</v>
      </c>
      <c r="H64">
        <f ca="1" t="shared" si="68"/>
        <v>0</v>
      </c>
      <c r="I64">
        <f ca="1" t="shared" si="69"/>
        <v>0</v>
      </c>
      <c r="J64" s="120" t="s">
        <v>103</v>
      </c>
      <c r="K64" s="162" t="str">
        <f ca="1" t="shared" si="65"/>
        <v>1.9.3.</v>
      </c>
      <c r="L64" s="209" t="s">
        <v>228</v>
      </c>
      <c r="M64" s="209" t="s">
        <v>283</v>
      </c>
      <c r="N64" s="230" t="str">
        <f ca="1">IF($A64="S",Referencia.Descricao,"(digite a descrição aqui)")</f>
        <v>CONTRAVERGA PRÉ-MOLDADA PARA VÃOS DE MAIS DE 1,5 M DE COMPRIMENTO. AF_03/2016</v>
      </c>
      <c r="O64" s="229" t="str">
        <f ca="1">Referencia.Unidade</f>
        <v>M</v>
      </c>
      <c r="P64" s="232">
        <f ca="1">OFFSET(PLQ!$E$12,ROW($P64)-ROW(P$12),0)</f>
        <v>20.8</v>
      </c>
      <c r="Q64" s="228">
        <v>46.86</v>
      </c>
      <c r="R64" s="231" t="s">
        <v>7</v>
      </c>
      <c r="S64" s="121">
        <f ca="1" t="shared" si="55"/>
        <v>56.51</v>
      </c>
      <c r="T64" s="98">
        <f ca="1" t="shared" si="56"/>
        <v>1175.41</v>
      </c>
      <c r="U64" s="13" t="str">
        <f ca="1" t="shared" si="66"/>
        <v/>
      </c>
      <c r="V64" s="4" t="str">
        <f ca="1">IF(OR($A64=0,$A64="S",$A64&gt;CFF!$A$9),"",MAX(V$12:OFFSET(V64,-1,0))+1)</f>
        <v/>
      </c>
      <c r="W64" s="9" t="str">
        <f t="shared" si="67"/>
        <v>Sinapi-93195</v>
      </c>
      <c r="X64" s="4">
        <f ca="1" t="shared" si="57"/>
        <v>2621</v>
      </c>
      <c r="Y64" s="121">
        <f ca="1">IF(Import.Desoneracao="sim",Referencia.Desonerado,Referencia.NaoDesonerado)</f>
        <v>46.86</v>
      </c>
      <c r="Z64" s="132">
        <f ca="1">ROUND(IF(ISNUMBER(R64),R64,IF(LEFT(R64,3)="BDI",HLOOKUP(R64,DADOS!$T$37:$X$38,2,FALSE),0)),15-11*$X$5)</f>
        <v>0.206</v>
      </c>
      <c r="AA64" s="4"/>
    </row>
    <row r="65" spans="1:27" ht="12.75">
      <c r="A65">
        <f t="shared" si="58"/>
        <v>2</v>
      </c>
      <c r="B65">
        <f ca="1" t="shared" si="59"/>
        <v>6</v>
      </c>
      <c r="C65">
        <f ca="1" t="shared" si="60"/>
        <v>1</v>
      </c>
      <c r="D65">
        <f ca="1" t="shared" si="61"/>
        <v>10</v>
      </c>
      <c r="E65">
        <f ca="1" t="shared" si="62"/>
        <v>0</v>
      </c>
      <c r="F65">
        <f ca="1" t="shared" si="63"/>
        <v>0</v>
      </c>
      <c r="G65">
        <f ca="1" t="shared" si="64"/>
        <v>0</v>
      </c>
      <c r="H65">
        <f ca="1" t="shared" si="68"/>
        <v>109</v>
      </c>
      <c r="I65">
        <f ca="1" t="shared" si="69"/>
        <v>6</v>
      </c>
      <c r="J65" s="120" t="s">
        <v>100</v>
      </c>
      <c r="K65" s="162" t="str">
        <f ca="1" t="shared" si="65"/>
        <v>1.10.</v>
      </c>
      <c r="L65" s="209"/>
      <c r="M65" s="209"/>
      <c r="N65" s="230" t="s">
        <v>385</v>
      </c>
      <c r="O65" s="229" t="str">
        <f ca="1">Referencia.Unidade</f>
        <v/>
      </c>
      <c r="P65" s="232">
        <f ca="1">OFFSET(PLQ!$E$12,ROW($P65)-ROW(P$12),0)</f>
        <v>0</v>
      </c>
      <c r="Q65" s="228"/>
      <c r="R65" s="231" t="s">
        <v>7</v>
      </c>
      <c r="S65" s="121">
        <f t="shared" si="55"/>
        <v>0</v>
      </c>
      <c r="T65" s="98">
        <f ca="1" t="shared" si="56"/>
        <v>303108.78</v>
      </c>
      <c r="U65" s="13" t="str">
        <f ca="1" t="shared" si="66"/>
        <v/>
      </c>
      <c r="V65" s="4">
        <f ca="1">IF(OR($A65=0,$A65="S",$A65&gt;CFF!$A$9),"",MAX(V$12:OFFSET(V65,-1,0))+1)</f>
        <v>11</v>
      </c>
      <c r="W65" s="9" t="b">
        <f t="shared" si="67"/>
        <v>0</v>
      </c>
      <c r="X65" s="4" t="str">
        <f ca="1" t="shared" si="57"/>
        <v>X</v>
      </c>
      <c r="Y65" s="121">
        <f ca="1">IF(Import.Desoneracao="sim",Referencia.Desonerado,Referencia.NaoDesonerado)</f>
        <v>0</v>
      </c>
      <c r="Z65" s="132">
        <f ca="1">ROUND(IF(ISNUMBER(R65),R65,IF(LEFT(R65,3)="BDI",HLOOKUP(R65,DADOS!$T$37:$X$38,2,FALSE),0)),15-11*$X$5)</f>
        <v>0.206</v>
      </c>
      <c r="AA65" s="4"/>
    </row>
    <row r="66" spans="1:27" ht="39.6">
      <c r="A66" t="str">
        <f t="shared" si="58"/>
        <v>S</v>
      </c>
      <c r="B66">
        <f t="shared" si="59"/>
        <v>0</v>
      </c>
      <c r="C66">
        <f ca="1" t="shared" si="60"/>
        <v>1</v>
      </c>
      <c r="D66">
        <f ca="1" t="shared" si="61"/>
        <v>10</v>
      </c>
      <c r="E66">
        <f ca="1" t="shared" si="62"/>
        <v>0</v>
      </c>
      <c r="F66">
        <f ca="1" t="shared" si="63"/>
        <v>0</v>
      </c>
      <c r="G66">
        <f ca="1" t="shared" si="64"/>
        <v>1</v>
      </c>
      <c r="H66">
        <f ca="1" t="shared" si="68"/>
        <v>0</v>
      </c>
      <c r="I66">
        <f ca="1" t="shared" si="69"/>
        <v>0</v>
      </c>
      <c r="J66" s="120" t="s">
        <v>103</v>
      </c>
      <c r="K66" s="162" t="str">
        <f ca="1" t="shared" si="65"/>
        <v>1.10.1.</v>
      </c>
      <c r="L66" s="209" t="s">
        <v>228</v>
      </c>
      <c r="M66" s="209" t="s">
        <v>325</v>
      </c>
      <c r="N66" s="230" t="str">
        <f ca="1">IF($A66="S",Referencia.Descricao,"(digite a descrição aqui)")</f>
        <v>ATERRO MECANIZADO DE VALA COM ESCAVADEIRA HIDRÁULICA (CAPACIDADE DA CAÇAMBA: 0,8 M³ / POTÊNCIA: 111 HP), LARGURA DE 1,5 A 2,5 M, PROFUNDIDADE ATÉ 1,5 M, COM SOLO ARGILO-ARENOSO. AF_05/2016</v>
      </c>
      <c r="O66" s="229" t="str">
        <f ca="1">Referencia.Unidade</f>
        <v>M3</v>
      </c>
      <c r="P66" s="232">
        <f ca="1">OFFSET(PLQ!$E$12,ROW($P66)-ROW(P$12),0)</f>
        <v>526.11</v>
      </c>
      <c r="Q66" s="228">
        <v>68.67</v>
      </c>
      <c r="R66" s="231" t="s">
        <v>7</v>
      </c>
      <c r="S66" s="121">
        <f ca="1" t="shared" si="55"/>
        <v>82.82</v>
      </c>
      <c r="T66" s="98">
        <f ca="1" t="shared" si="56"/>
        <v>43572.43</v>
      </c>
      <c r="U66" s="13" t="str">
        <f ca="1" t="shared" si="66"/>
        <v/>
      </c>
      <c r="V66" s="4" t="str">
        <f ca="1">IF(OR($A66=0,$A66="S",$A66&gt;CFF!$A$9),"",MAX(V$12:OFFSET(V66,-1,0))+1)</f>
        <v/>
      </c>
      <c r="W66" s="9" t="str">
        <f t="shared" si="67"/>
        <v>Sinapi-94304</v>
      </c>
      <c r="X66" s="4">
        <f ca="1" t="shared" si="57"/>
        <v>5673</v>
      </c>
      <c r="Y66" s="121">
        <f ca="1">IF(Import.Desoneracao="sim",Referencia.Desonerado,Referencia.NaoDesonerado)</f>
        <v>68.67</v>
      </c>
      <c r="Z66" s="132">
        <f ca="1">ROUND(IF(ISNUMBER(R66),R66,IF(LEFT(R66,3)="BDI",HLOOKUP(R66,DADOS!$T$37:$X$38,2,FALSE),0)),15-11*$X$5)</f>
        <v>0.206</v>
      </c>
      <c r="AA66" s="4"/>
    </row>
    <row r="67" spans="1:27" ht="26.4">
      <c r="A67" t="str">
        <f t="shared" si="58"/>
        <v>S</v>
      </c>
      <c r="B67">
        <f t="shared" si="59"/>
        <v>0</v>
      </c>
      <c r="C67">
        <f ca="1" t="shared" si="60"/>
        <v>1</v>
      </c>
      <c r="D67">
        <f ca="1" t="shared" si="61"/>
        <v>10</v>
      </c>
      <c r="E67">
        <f ca="1" t="shared" si="62"/>
        <v>0</v>
      </c>
      <c r="F67">
        <f ca="1" t="shared" si="63"/>
        <v>0</v>
      </c>
      <c r="G67">
        <f ca="1" t="shared" si="64"/>
        <v>2</v>
      </c>
      <c r="H67">
        <f ca="1" t="shared" si="68"/>
        <v>0</v>
      </c>
      <c r="I67">
        <f ca="1" t="shared" si="69"/>
        <v>0</v>
      </c>
      <c r="J67" s="120" t="s">
        <v>103</v>
      </c>
      <c r="K67" s="162" t="str">
        <f ca="1" t="shared" si="65"/>
        <v>1.10.2.</v>
      </c>
      <c r="L67" s="209" t="s">
        <v>228</v>
      </c>
      <c r="M67" s="209" t="s">
        <v>284</v>
      </c>
      <c r="N67" s="230" t="str">
        <f ca="1">IF($A67="S",Referencia.Descricao,"(digite a descrição aqui)")</f>
        <v>LASTRO COM MATERIAL GRANULAR, APLICADO EM PISOS OU LAJES SOBRE SOLO, ESPESSURA DE *5 CM*. AF_08/2017</v>
      </c>
      <c r="O67" s="229" t="str">
        <f ca="1">Referencia.Unidade</f>
        <v>M3</v>
      </c>
      <c r="P67" s="232">
        <f ca="1">OFFSET(PLQ!$E$12,ROW($P67)-ROW(P$12),0)</f>
        <v>61.23</v>
      </c>
      <c r="Q67" s="228">
        <v>122.05</v>
      </c>
      <c r="R67" s="231" t="s">
        <v>7</v>
      </c>
      <c r="S67" s="121">
        <f ca="1" t="shared" si="55"/>
        <v>147.19</v>
      </c>
      <c r="T67" s="98">
        <f ca="1" t="shared" si="56"/>
        <v>9012.44</v>
      </c>
      <c r="U67" s="13" t="str">
        <f ca="1" t="shared" si="66"/>
        <v/>
      </c>
      <c r="V67" s="4" t="str">
        <f ca="1">IF(OR($A67=0,$A67="S",$A67&gt;CFF!$A$9),"",MAX(V$12:OFFSET(V67,-1,0))+1)</f>
        <v/>
      </c>
      <c r="W67" s="9" t="str">
        <f t="shared" si="67"/>
        <v>Sinapi-96622</v>
      </c>
      <c r="X67" s="4">
        <f ca="1" t="shared" si="57"/>
        <v>2180</v>
      </c>
      <c r="Y67" s="121">
        <f ca="1">IF(Import.Desoneracao="sim",Referencia.Desonerado,Referencia.NaoDesonerado)</f>
        <v>122.05</v>
      </c>
      <c r="Z67" s="132">
        <f ca="1">ROUND(IF(ISNUMBER(R67),R67,IF(LEFT(R67,3)="BDI",HLOOKUP(R67,DADOS!$T$37:$X$38,2,FALSE),0)),15-11*$X$5)</f>
        <v>0.206</v>
      </c>
      <c r="AA67" s="4"/>
    </row>
    <row r="68" spans="1:27" ht="39.6">
      <c r="A68" t="str">
        <f t="shared" si="58"/>
        <v>S</v>
      </c>
      <c r="B68">
        <f t="shared" si="59"/>
        <v>0</v>
      </c>
      <c r="C68">
        <f ca="1" t="shared" si="60"/>
        <v>1</v>
      </c>
      <c r="D68">
        <f ca="1" t="shared" si="61"/>
        <v>10</v>
      </c>
      <c r="E68">
        <f ca="1" t="shared" si="62"/>
        <v>0</v>
      </c>
      <c r="F68">
        <f ca="1" t="shared" si="63"/>
        <v>0</v>
      </c>
      <c r="G68">
        <f ca="1" t="shared" si="64"/>
        <v>3</v>
      </c>
      <c r="H68">
        <f ca="1" t="shared" si="68"/>
        <v>0</v>
      </c>
      <c r="I68">
        <f ca="1" t="shared" si="69"/>
        <v>0</v>
      </c>
      <c r="J68" s="120" t="s">
        <v>103</v>
      </c>
      <c r="K68" s="162" t="str">
        <f ca="1" t="shared" si="65"/>
        <v>1.10.3.</v>
      </c>
      <c r="L68" s="209" t="s">
        <v>286</v>
      </c>
      <c r="M68" s="209" t="s">
        <v>287</v>
      </c>
      <c r="N68" s="230" t="str">
        <f ca="1">IF($A68="S",Referencia.Descricao,"(digite a descrição aqui)")</f>
        <v xml:space="preserve">TELA DE ACO SOLDADA NERVURADA, CA-60, Q-92, (1,48 KG/M2), DIAMETRO DO FIO = 4,2 MM, LARGURA = 2,45 X 60 M DE COMPRIMENTO, ESPACAMENTO DA MALHA = 15  X 15 CM                                                                                                                                                                                                                                                                                                                                              </v>
      </c>
      <c r="O68" s="229" t="str">
        <f ca="1">Referencia.Unidade</f>
        <v xml:space="preserve">M2    </v>
      </c>
      <c r="P68" s="232">
        <f ca="1">OFFSET(PLQ!$E$12,ROW($P68)-ROW(P$12),0)</f>
        <v>1223.56</v>
      </c>
      <c r="Q68" s="228">
        <v>14.49</v>
      </c>
      <c r="R68" s="231" t="s">
        <v>8</v>
      </c>
      <c r="S68" s="121">
        <f ca="1" t="shared" si="55"/>
        <v>16.32</v>
      </c>
      <c r="T68" s="98">
        <f ca="1" t="shared" si="56"/>
        <v>19968.5</v>
      </c>
      <c r="U68" s="13" t="str">
        <f ca="1" t="shared" si="66"/>
        <v/>
      </c>
      <c r="V68" s="4" t="str">
        <f ca="1">IF(OR($A68=0,$A68="S",$A68&gt;CFF!$A$9),"",MAX(V$12:OFFSET(V68,-1,0))+1)</f>
        <v/>
      </c>
      <c r="W68" s="9" t="str">
        <f t="shared" si="67"/>
        <v>Sinapi-i-21141</v>
      </c>
      <c r="X68" s="4">
        <f ca="1" t="shared" si="57"/>
        <v>11731</v>
      </c>
      <c r="Y68" s="121">
        <f ca="1">IF(Import.Desoneracao="sim",Referencia.Desonerado,Referencia.NaoDesonerado)</f>
        <v>14.49</v>
      </c>
      <c r="Z68" s="132">
        <f ca="1">ROUND(IF(ISNUMBER(R68),R68,IF(LEFT(R68,3)="BDI",HLOOKUP(R68,DADOS!$T$37:$X$38,2,FALSE),0)),15-11*$X$5)</f>
        <v>0.1262</v>
      </c>
      <c r="AA68" s="4"/>
    </row>
    <row r="69" spans="1:27" ht="26.4">
      <c r="A69" t="str">
        <f t="shared" si="58"/>
        <v>S</v>
      </c>
      <c r="B69">
        <f t="shared" si="59"/>
        <v>0</v>
      </c>
      <c r="C69">
        <f ca="1" t="shared" si="60"/>
        <v>1</v>
      </c>
      <c r="D69">
        <f ca="1" t="shared" si="61"/>
        <v>10</v>
      </c>
      <c r="E69">
        <f ca="1" t="shared" si="62"/>
        <v>0</v>
      </c>
      <c r="F69">
        <f ca="1" t="shared" si="63"/>
        <v>0</v>
      </c>
      <c r="G69">
        <f ca="1" t="shared" si="64"/>
        <v>4</v>
      </c>
      <c r="H69">
        <f ca="1" t="shared" si="68"/>
        <v>0</v>
      </c>
      <c r="I69">
        <f ca="1" t="shared" si="69"/>
        <v>0</v>
      </c>
      <c r="J69" s="120" t="s">
        <v>103</v>
      </c>
      <c r="K69" s="162" t="str">
        <f ca="1" t="shared" si="65"/>
        <v>1.10.4.</v>
      </c>
      <c r="L69" s="209" t="s">
        <v>228</v>
      </c>
      <c r="M69" s="209" t="s">
        <v>326</v>
      </c>
      <c r="N69" s="230" t="str">
        <f ca="1">IF($A69="S",Referencia.Descricao,"(digite a descrição aqui)")</f>
        <v>CONTRAPISO COM ARGAMASSA AUTONIVELANTE, APLICADO SOBRE LAJE, NÃO ADERIDO, ESPESSURA 5CM. AF_07/2021</v>
      </c>
      <c r="O69" s="229" t="str">
        <f ca="1">Referencia.Unidade</f>
        <v>M2</v>
      </c>
      <c r="P69" s="232">
        <f ca="1">OFFSET(PLQ!$E$12,ROW($P69)-ROW(P$12),0)</f>
        <v>1223.56</v>
      </c>
      <c r="Q69" s="228">
        <v>36.24</v>
      </c>
      <c r="R69" s="231" t="s">
        <v>7</v>
      </c>
      <c r="S69" s="121">
        <f ca="1" t="shared" si="55"/>
        <v>43.71</v>
      </c>
      <c r="T69" s="98">
        <f ca="1" t="shared" si="56"/>
        <v>53481.81</v>
      </c>
      <c r="U69" s="13" t="str">
        <f ca="1" t="shared" si="66"/>
        <v/>
      </c>
      <c r="V69" s="4" t="str">
        <f ca="1">IF(OR($A69=0,$A69="S",$A69&gt;CFF!$A$9),"",MAX(V$12:OFFSET(V69,-1,0))+1)</f>
        <v/>
      </c>
      <c r="W69" s="9" t="str">
        <f t="shared" si="67"/>
        <v>Sinapi-88472</v>
      </c>
      <c r="X69" s="4">
        <f ca="1" t="shared" si="57"/>
        <v>6230</v>
      </c>
      <c r="Y69" s="121">
        <f ca="1">IF(Import.Desoneracao="sim",Referencia.Desonerado,Referencia.NaoDesonerado)</f>
        <v>36.24</v>
      </c>
      <c r="Z69" s="132">
        <f ca="1">ROUND(IF(ISNUMBER(R69),R69,IF(LEFT(R69,3)="BDI",HLOOKUP(R69,DADOS!$T$37:$X$38,2,FALSE),0)),15-11*$X$5)</f>
        <v>0.206</v>
      </c>
      <c r="AA69" s="4"/>
    </row>
    <row r="70" spans="1:27" ht="26.4">
      <c r="A70" t="str">
        <f t="shared" si="58"/>
        <v>S</v>
      </c>
      <c r="B70">
        <f t="shared" si="59"/>
        <v>0</v>
      </c>
      <c r="C70">
        <f ca="1" t="shared" si="60"/>
        <v>1</v>
      </c>
      <c r="D70">
        <f ca="1" t="shared" si="61"/>
        <v>10</v>
      </c>
      <c r="E70">
        <f ca="1" t="shared" si="62"/>
        <v>0</v>
      </c>
      <c r="F70">
        <f ca="1" t="shared" si="63"/>
        <v>0</v>
      </c>
      <c r="G70">
        <f ca="1" t="shared" si="64"/>
        <v>5</v>
      </c>
      <c r="H70">
        <f ca="1" t="shared" si="68"/>
        <v>0</v>
      </c>
      <c r="I70">
        <f ca="1" t="shared" si="69"/>
        <v>0</v>
      </c>
      <c r="J70" s="120" t="s">
        <v>103</v>
      </c>
      <c r="K70" s="162" t="str">
        <f ca="1" t="shared" si="65"/>
        <v>1.10.5.</v>
      </c>
      <c r="L70" s="209" t="s">
        <v>286</v>
      </c>
      <c r="M70" s="209" t="s">
        <v>285</v>
      </c>
      <c r="N70" s="230" t="str">
        <f ca="1">IF($A70="S",Referencia.Descricao,"(digite a descrição aqui)")</f>
        <v xml:space="preserve">PISO EM GRANILITE, MARMORITE OU GRANITINA, AGREGADO COR PRETO, CINZA, PALHA OU BRANCO, E=  *8* MM (INCLUSO EXECUCAO)                                                                                                                                                                                                                                                                                                                                                                                      </v>
      </c>
      <c r="O70" s="229" t="str">
        <f ca="1">Referencia.Unidade</f>
        <v xml:space="preserve">M2    </v>
      </c>
      <c r="P70" s="232">
        <f ca="1">OFFSET(PLQ!$E$12,ROW($P70)-ROW(P$12),0)</f>
        <v>1223.56</v>
      </c>
      <c r="Q70" s="228">
        <v>120</v>
      </c>
      <c r="R70" s="231" t="s">
        <v>7</v>
      </c>
      <c r="S70" s="121">
        <f ca="1" t="shared" si="55"/>
        <v>144.72</v>
      </c>
      <c r="T70" s="98">
        <f ca="1" t="shared" si="56"/>
        <v>177073.6</v>
      </c>
      <c r="U70" s="13" t="str">
        <f ca="1" t="shared" si="66"/>
        <v/>
      </c>
      <c r="V70" s="4" t="str">
        <f ca="1">IF(OR($A70=0,$A70="S",$A70&gt;CFF!$A$9),"",MAX(V$12:OFFSET(V70,-1,0))+1)</f>
        <v/>
      </c>
      <c r="W70" s="9" t="str">
        <f t="shared" si="67"/>
        <v>Sinapi-i-4786</v>
      </c>
      <c r="X70" s="4">
        <f ca="1" t="shared" si="57"/>
        <v>10918</v>
      </c>
      <c r="Y70" s="121">
        <f ca="1">IF(Import.Desoneracao="sim",Referencia.Desonerado,Referencia.NaoDesonerado)</f>
        <v>120</v>
      </c>
      <c r="Z70" s="132">
        <f ca="1">ROUND(IF(ISNUMBER(R70),R70,IF(LEFT(R70,3)="BDI",HLOOKUP(R70,DADOS!$T$37:$X$38,2,FALSE),0)),15-11*$X$5)</f>
        <v>0.206</v>
      </c>
      <c r="AA70" s="4"/>
    </row>
    <row r="71" spans="1:27" ht="12.75">
      <c r="A71">
        <f t="shared" si="58"/>
        <v>2</v>
      </c>
      <c r="B71">
        <f ca="1" t="shared" si="59"/>
        <v>15</v>
      </c>
      <c r="C71">
        <f ca="1" t="shared" si="60"/>
        <v>1</v>
      </c>
      <c r="D71">
        <f ca="1" t="shared" si="61"/>
        <v>11</v>
      </c>
      <c r="E71">
        <f ca="1" t="shared" si="62"/>
        <v>0</v>
      </c>
      <c r="F71">
        <f ca="1" t="shared" si="63"/>
        <v>0</v>
      </c>
      <c r="G71">
        <f ca="1" t="shared" si="64"/>
        <v>0</v>
      </c>
      <c r="H71">
        <f ca="1" t="shared" si="68"/>
        <v>103</v>
      </c>
      <c r="I71">
        <f ca="1" t="shared" si="69"/>
        <v>15</v>
      </c>
      <c r="J71" s="120" t="s">
        <v>100</v>
      </c>
      <c r="K71" s="162" t="str">
        <f ca="1" t="shared" si="65"/>
        <v>1.11.</v>
      </c>
      <c r="L71" s="209"/>
      <c r="M71" s="209"/>
      <c r="N71" s="230" t="s">
        <v>322</v>
      </c>
      <c r="O71" s="229" t="str">
        <f ca="1">Referencia.Unidade</f>
        <v/>
      </c>
      <c r="P71" s="232">
        <f ca="1">OFFSET(PLQ!$E$12,ROW($P71)-ROW(P$12),0)</f>
        <v>0</v>
      </c>
      <c r="Q71" s="228"/>
      <c r="R71" s="231" t="s">
        <v>7</v>
      </c>
      <c r="S71" s="121">
        <f t="shared" si="55"/>
        <v>0</v>
      </c>
      <c r="T71" s="98">
        <f ca="1" t="shared" si="56"/>
        <v>354139.49</v>
      </c>
      <c r="U71" s="13" t="str">
        <f ca="1" t="shared" si="66"/>
        <v/>
      </c>
      <c r="V71" s="4">
        <f ca="1">IF(OR($A71=0,$A71="S",$A71&gt;CFF!$A$9),"",MAX(V$12:OFFSET(V71,-1,0))+1)</f>
        <v>12</v>
      </c>
      <c r="W71" s="9" t="b">
        <f t="shared" si="67"/>
        <v>0</v>
      </c>
      <c r="X71" s="4" t="str">
        <f ca="1" t="shared" si="57"/>
        <v>X</v>
      </c>
      <c r="Y71" s="121">
        <f ca="1">IF(Import.Desoneracao="sim",Referencia.Desonerado,Referencia.NaoDesonerado)</f>
        <v>0</v>
      </c>
      <c r="Z71" s="132">
        <f ca="1">ROUND(IF(ISNUMBER(R71),R71,IF(LEFT(R71,3)="BDI",HLOOKUP(R71,DADOS!$T$37:$X$38,2,FALSE),0)),15-11*$X$5)</f>
        <v>0.206</v>
      </c>
      <c r="AA71" s="4"/>
    </row>
    <row r="72" spans="1:27" ht="26.4">
      <c r="A72" t="str">
        <f t="shared" si="58"/>
        <v>S</v>
      </c>
      <c r="B72">
        <f t="shared" si="59"/>
        <v>0</v>
      </c>
      <c r="C72">
        <f ca="1" t="shared" si="60"/>
        <v>1</v>
      </c>
      <c r="D72">
        <f ca="1" t="shared" si="61"/>
        <v>11</v>
      </c>
      <c r="E72">
        <f ca="1" t="shared" si="62"/>
        <v>0</v>
      </c>
      <c r="F72">
        <f ca="1" t="shared" si="63"/>
        <v>0</v>
      </c>
      <c r="G72">
        <f ca="1" t="shared" si="64"/>
        <v>1</v>
      </c>
      <c r="H72">
        <f ca="1" t="shared" si="68"/>
        <v>0</v>
      </c>
      <c r="I72">
        <f ca="1" t="shared" si="69"/>
        <v>0</v>
      </c>
      <c r="J72" s="120" t="s">
        <v>103</v>
      </c>
      <c r="K72" s="162" t="str">
        <f ca="1" t="shared" si="65"/>
        <v>1.11.1.</v>
      </c>
      <c r="L72" s="209" t="s">
        <v>228</v>
      </c>
      <c r="M72" s="209" t="s">
        <v>260</v>
      </c>
      <c r="N72" s="230" t="str">
        <f ca="1">IF($A72="S",Referencia.Descricao,"(digite a descrição aqui)")</f>
        <v>ESCAVAÇÃO MANUAL DE VALA COM PROFUNDIDADE MENOR OU IGUAL A 1,30 M. AF_02/2021</v>
      </c>
      <c r="O72" s="229" t="str">
        <f ca="1">Referencia.Unidade</f>
        <v>M3</v>
      </c>
      <c r="P72" s="232">
        <f ca="1">OFFSET(PLQ!$E$12,ROW($P72)-ROW(P$12),0)</f>
        <v>31.85</v>
      </c>
      <c r="Q72" s="228">
        <v>84.26</v>
      </c>
      <c r="R72" s="231" t="s">
        <v>7</v>
      </c>
      <c r="S72" s="121">
        <f ca="1" t="shared" si="55"/>
        <v>101.62</v>
      </c>
      <c r="T72" s="98">
        <f ca="1" t="shared" si="56"/>
        <v>3236.6</v>
      </c>
      <c r="U72" s="13" t="str">
        <f ca="1" t="shared" si="66"/>
        <v/>
      </c>
      <c r="V72" s="4" t="str">
        <f ca="1">IF(OR($A72=0,$A72="S",$A72&gt;CFF!$A$9),"",MAX(V$12:OFFSET(V72,-1,0))+1)</f>
        <v/>
      </c>
      <c r="W72" s="9" t="str">
        <f t="shared" si="67"/>
        <v>Sinapi-93358</v>
      </c>
      <c r="X72" s="4">
        <f ca="1" t="shared" si="57"/>
        <v>5618</v>
      </c>
      <c r="Y72" s="121">
        <f ca="1">IF(Import.Desoneracao="sim",Referencia.Desonerado,Referencia.NaoDesonerado)</f>
        <v>84.26</v>
      </c>
      <c r="Z72" s="132">
        <f ca="1">ROUND(IF(ISNUMBER(R72),R72,IF(LEFT(R72,3)="BDI",HLOOKUP(R72,DADOS!$T$37:$X$38,2,FALSE),0)),15-11*$X$5)</f>
        <v>0.206</v>
      </c>
      <c r="AA72" s="4"/>
    </row>
    <row r="73" spans="1:27" ht="26.4">
      <c r="A73" t="str">
        <f t="shared" si="58"/>
        <v>S</v>
      </c>
      <c r="B73">
        <f t="shared" si="59"/>
        <v>0</v>
      </c>
      <c r="C73">
        <f ca="1" t="shared" si="60"/>
        <v>1</v>
      </c>
      <c r="D73">
        <f ca="1" t="shared" si="61"/>
        <v>11</v>
      </c>
      <c r="E73">
        <f ca="1" t="shared" si="62"/>
        <v>0</v>
      </c>
      <c r="F73">
        <f ca="1" t="shared" si="63"/>
        <v>0</v>
      </c>
      <c r="G73">
        <f ca="1" t="shared" si="64"/>
        <v>2</v>
      </c>
      <c r="H73">
        <f ca="1" t="shared" si="68"/>
        <v>0</v>
      </c>
      <c r="I73">
        <f ca="1" t="shared" si="69"/>
        <v>0</v>
      </c>
      <c r="J73" s="120" t="s">
        <v>103</v>
      </c>
      <c r="K73" s="162" t="str">
        <f ca="1" t="shared" si="65"/>
        <v>1.11.2.</v>
      </c>
      <c r="L73" s="209" t="s">
        <v>228</v>
      </c>
      <c r="M73" s="209" t="s">
        <v>243</v>
      </c>
      <c r="N73" s="230" t="str">
        <f ca="1">IF($A73="S",Referencia.Descricao,"(digite a descrição aqui)")</f>
        <v>PREPARO DE FUNDO DE VALA COM LARGURA MENOR QUE 1,5 M (ACERTO DO SOLO NATURAL). AF_08/2020</v>
      </c>
      <c r="O73" s="229" t="str">
        <f ca="1">Referencia.Unidade</f>
        <v>M2</v>
      </c>
      <c r="P73" s="232">
        <f ca="1">OFFSET(PLQ!$E$12,ROW($P73)-ROW(P$12),0)</f>
        <v>128.57</v>
      </c>
      <c r="Q73" s="228">
        <v>6.13</v>
      </c>
      <c r="R73" s="231" t="s">
        <v>7</v>
      </c>
      <c r="S73" s="121">
        <f ca="1" t="shared" si="55"/>
        <v>7.39</v>
      </c>
      <c r="T73" s="98">
        <f ca="1" t="shared" si="56"/>
        <v>950.13</v>
      </c>
      <c r="U73" s="13" t="str">
        <f ca="1" t="shared" si="66"/>
        <v/>
      </c>
      <c r="V73" s="4" t="str">
        <f ca="1">IF(OR($A73=0,$A73="S",$A73&gt;CFF!$A$9),"",MAX(V$12:OFFSET(V73,-1,0))+1)</f>
        <v/>
      </c>
      <c r="W73" s="9" t="str">
        <f t="shared" si="67"/>
        <v>Sinapi-101616</v>
      </c>
      <c r="X73" s="4">
        <f ca="1" t="shared" si="57"/>
        <v>5727</v>
      </c>
      <c r="Y73" s="121">
        <f ca="1">IF(Import.Desoneracao="sim",Referencia.Desonerado,Referencia.NaoDesonerado)</f>
        <v>6.13</v>
      </c>
      <c r="Z73" s="132">
        <f ca="1">ROUND(IF(ISNUMBER(R73),R73,IF(LEFT(R73,3)="BDI",HLOOKUP(R73,DADOS!$T$37:$X$38,2,FALSE),0)),15-11*$X$5)</f>
        <v>0.206</v>
      </c>
      <c r="AA73" s="4"/>
    </row>
    <row r="74" spans="1:27" ht="26.4">
      <c r="A74" t="str">
        <f t="shared" si="58"/>
        <v>S</v>
      </c>
      <c r="B74">
        <f t="shared" si="59"/>
        <v>0</v>
      </c>
      <c r="C74">
        <f ca="1" t="shared" si="60"/>
        <v>1</v>
      </c>
      <c r="D74">
        <f ca="1" t="shared" si="61"/>
        <v>11</v>
      </c>
      <c r="E74">
        <f ca="1" t="shared" si="62"/>
        <v>0</v>
      </c>
      <c r="F74">
        <f ca="1" t="shared" si="63"/>
        <v>0</v>
      </c>
      <c r="G74">
        <f ca="1" t="shared" si="64"/>
        <v>3</v>
      </c>
      <c r="H74">
        <f ca="1" t="shared" si="68"/>
        <v>0</v>
      </c>
      <c r="I74">
        <f ca="1" t="shared" si="69"/>
        <v>0</v>
      </c>
      <c r="J74" s="120" t="s">
        <v>103</v>
      </c>
      <c r="K74" s="162" t="str">
        <f ca="1" t="shared" si="65"/>
        <v>1.11.3.</v>
      </c>
      <c r="L74" s="209" t="s">
        <v>228</v>
      </c>
      <c r="M74" s="209" t="s">
        <v>261</v>
      </c>
      <c r="N74" s="230" t="str">
        <f ca="1">IF($A74="S",Referencia.Descricao,"(digite a descrição aqui)")</f>
        <v>LASTRO DE CONCRETO MAGRO, APLICADO EM PISOS, LAJES SOBRE SOLO OU RADIERS, ESPESSURA DE 5 CM. AF_07/2016</v>
      </c>
      <c r="O74" s="229" t="str">
        <f ca="1">Referencia.Unidade</f>
        <v>M2</v>
      </c>
      <c r="P74" s="232">
        <f ca="1">OFFSET(PLQ!$E$12,ROW($P74)-ROW(P$12),0)</f>
        <v>128.57</v>
      </c>
      <c r="Q74" s="228">
        <v>29.56</v>
      </c>
      <c r="R74" s="231" t="s">
        <v>7</v>
      </c>
      <c r="S74" s="121">
        <f ca="1" t="shared" si="55"/>
        <v>35.65</v>
      </c>
      <c r="T74" s="98">
        <f ca="1" t="shared" si="56"/>
        <v>4583.52</v>
      </c>
      <c r="U74" s="13" t="str">
        <f ca="1" t="shared" si="66"/>
        <v/>
      </c>
      <c r="V74" s="4" t="str">
        <f ca="1">IF(OR($A74=0,$A74="S",$A74&gt;CFF!$A$9),"",MAX(V$12:OFFSET(V74,-1,0))+1)</f>
        <v/>
      </c>
      <c r="W74" s="9" t="str">
        <f t="shared" si="67"/>
        <v>Sinapi-95241</v>
      </c>
      <c r="X74" s="4">
        <f ca="1" t="shared" si="57"/>
        <v>2174</v>
      </c>
      <c r="Y74" s="121">
        <f ca="1">IF(Import.Desoneracao="sim",Referencia.Desonerado,Referencia.NaoDesonerado)</f>
        <v>29.56</v>
      </c>
      <c r="Z74" s="132">
        <f ca="1">ROUND(IF(ISNUMBER(R74),R74,IF(LEFT(R74,3)="BDI",HLOOKUP(R74,DADOS!$T$37:$X$38,2,FALSE),0)),15-11*$X$5)</f>
        <v>0.206</v>
      </c>
      <c r="AA74" s="4"/>
    </row>
    <row r="75" spans="1:27" ht="26.4">
      <c r="A75" t="str">
        <f t="shared" si="58"/>
        <v>S</v>
      </c>
      <c r="B75">
        <f t="shared" si="59"/>
        <v>0</v>
      </c>
      <c r="C75">
        <f ca="1" t="shared" si="60"/>
        <v>1</v>
      </c>
      <c r="D75">
        <f ca="1" t="shared" si="61"/>
        <v>11</v>
      </c>
      <c r="E75">
        <f ca="1" t="shared" si="62"/>
        <v>0</v>
      </c>
      <c r="F75">
        <f ca="1" t="shared" si="63"/>
        <v>0</v>
      </c>
      <c r="G75">
        <f ca="1" t="shared" si="64"/>
        <v>4</v>
      </c>
      <c r="H75">
        <f ca="1" t="shared" si="68"/>
        <v>0</v>
      </c>
      <c r="I75">
        <f ca="1" t="shared" si="69"/>
        <v>0</v>
      </c>
      <c r="J75" s="120" t="s">
        <v>103</v>
      </c>
      <c r="K75" s="162" t="str">
        <f ca="1" t="shared" si="65"/>
        <v>1.11.4.</v>
      </c>
      <c r="L75" s="209" t="s">
        <v>240</v>
      </c>
      <c r="M75" s="209" t="s">
        <v>234</v>
      </c>
      <c r="N75" s="230" t="str">
        <f ca="1">IF($A75="S",Referencia.Descricao,"(digite a descrição aqui)")</f>
        <v>Alvenaria de tijolos maciços 5x10x20cm (1 vez, para alicerce), assentados com argamassa traço 1:2:8 (cimento, cal e areia)</v>
      </c>
      <c r="O75" s="229" t="str">
        <f ca="1">Referencia.Unidade</f>
        <v>M²</v>
      </c>
      <c r="P75" s="232">
        <f ca="1">OFFSET(PLQ!$E$12,ROW($P75)-ROW(P$12),0)</f>
        <v>291.72</v>
      </c>
      <c r="Q75" s="228">
        <v>112.59</v>
      </c>
      <c r="R75" s="231" t="s">
        <v>7</v>
      </c>
      <c r="S75" s="121">
        <f ca="1" t="shared" si="55"/>
        <v>135.78</v>
      </c>
      <c r="T75" s="98">
        <f ca="1" t="shared" si="56"/>
        <v>39609.74</v>
      </c>
      <c r="U75" s="13" t="str">
        <f ca="1" t="shared" si="66"/>
        <v/>
      </c>
      <c r="V75" s="4" t="str">
        <f ca="1">IF(OR($A75=0,$A75="S",$A75&gt;CFF!$A$9),"",MAX(V$12:OFFSET(V75,-1,0))+1)</f>
        <v/>
      </c>
      <c r="W75" s="9" t="str">
        <f t="shared" si="67"/>
        <v>COMPOSIÇÃO-02</v>
      </c>
      <c r="X75" s="4">
        <f ca="1" t="shared" si="57"/>
        <v>8</v>
      </c>
      <c r="Y75" s="121">
        <f ca="1">IF(Import.Desoneracao="sim",Referencia.Desonerado,Referencia.NaoDesonerado)</f>
        <v>112.59</v>
      </c>
      <c r="Z75" s="132">
        <f ca="1">ROUND(IF(ISNUMBER(R75),R75,IF(LEFT(R75,3)="BDI",HLOOKUP(R75,DADOS!$T$37:$X$38,2,FALSE),0)),15-11*$X$5)</f>
        <v>0.206</v>
      </c>
      <c r="AA75" s="4"/>
    </row>
    <row r="76" spans="1:27" ht="39.6">
      <c r="A76" t="str">
        <f t="shared" si="58"/>
        <v>S</v>
      </c>
      <c r="B76">
        <f t="shared" si="59"/>
        <v>0</v>
      </c>
      <c r="C76">
        <f ca="1" t="shared" si="60"/>
        <v>1</v>
      </c>
      <c r="D76">
        <f ca="1" t="shared" si="61"/>
        <v>11</v>
      </c>
      <c r="E76">
        <f ca="1" t="shared" si="62"/>
        <v>0</v>
      </c>
      <c r="F76">
        <f ca="1" t="shared" si="63"/>
        <v>0</v>
      </c>
      <c r="G76">
        <f ca="1" t="shared" si="64"/>
        <v>5</v>
      </c>
      <c r="H76">
        <f aca="true" ca="1" t="shared" si="70" ref="H76:H107">IF(OR($A76="S",$A76=0),0,MATCH(0,OFFSET($B76,1,$A76,ROW($A$174)-ROW($A76)),0))</f>
        <v>0</v>
      </c>
      <c r="I76">
        <f aca="true" ca="1" t="shared" si="71" ref="I76:I107">IF(OR($A76="S",$A76=0),0,MATCH(OFFSET($B76,0,$A76)+1,OFFSET($B76,1,$A76,ROW($A$174)-ROW($A76)),0))</f>
        <v>0</v>
      </c>
      <c r="J76" s="120" t="s">
        <v>103</v>
      </c>
      <c r="K76" s="162" t="str">
        <f ca="1" t="shared" si="65"/>
        <v>1.11.5.</v>
      </c>
      <c r="L76" s="209" t="s">
        <v>228</v>
      </c>
      <c r="M76" s="209" t="s">
        <v>263</v>
      </c>
      <c r="N76" s="230" t="str">
        <f ca="1">IF($A76="S",Referencia.Descricao,"(digite a descrição aqui)")</f>
        <v>CHAPISCO APLICADO EM ALVENARIA (SEM PRESENÇA DE VÃOS) E ESTRUTURAS DE CONCRETO DE FACHADA, COM COLHER DE PEDREIRO.  ARGAMASSA TRAÇO 1:3 COM PREPARO EM BETONEIRA 400L. AF_10/2022</v>
      </c>
      <c r="O76" s="229" t="str">
        <f ca="1">Referencia.Unidade</f>
        <v>M2</v>
      </c>
      <c r="P76" s="232">
        <f ca="1">OFFSET(PLQ!$E$12,ROW($P76)-ROW(P$12),0)</f>
        <v>257.92</v>
      </c>
      <c r="Q76" s="228">
        <v>6.6</v>
      </c>
      <c r="R76" s="231" t="s">
        <v>7</v>
      </c>
      <c r="S76" s="121">
        <f ca="1" t="shared" si="55"/>
        <v>7.96</v>
      </c>
      <c r="T76" s="98">
        <f ca="1" t="shared" si="56"/>
        <v>2053.04</v>
      </c>
      <c r="U76" s="13" t="str">
        <f ca="1" t="shared" si="66"/>
        <v/>
      </c>
      <c r="V76" s="4" t="str">
        <f ca="1">IF(OR($A76=0,$A76="S",$A76&gt;CFF!$A$9),"",MAX(V$12:OFFSET(V76,-1,0))+1)</f>
        <v/>
      </c>
      <c r="W76" s="9" t="str">
        <f t="shared" si="67"/>
        <v>Sinapi-87894</v>
      </c>
      <c r="X76" s="4">
        <f ca="1" t="shared" si="57"/>
        <v>6265</v>
      </c>
      <c r="Y76" s="121">
        <f ca="1">IF(Import.Desoneracao="sim",Referencia.Desonerado,Referencia.NaoDesonerado)</f>
        <v>6.6</v>
      </c>
      <c r="Z76" s="132">
        <f ca="1">ROUND(IF(ISNUMBER(R76),R76,IF(LEFT(R76,3)="BDI",HLOOKUP(R76,DADOS!$T$37:$X$38,2,FALSE),0)),15-11*$X$5)</f>
        <v>0.206</v>
      </c>
      <c r="AA76" s="4"/>
    </row>
    <row r="77" spans="1:27" ht="39.6">
      <c r="A77" t="str">
        <f t="shared" si="58"/>
        <v>S</v>
      </c>
      <c r="B77">
        <f t="shared" si="59"/>
        <v>0</v>
      </c>
      <c r="C77">
        <f ca="1" t="shared" si="60"/>
        <v>1</v>
      </c>
      <c r="D77">
        <f ca="1" t="shared" si="61"/>
        <v>11</v>
      </c>
      <c r="E77">
        <f ca="1" t="shared" si="62"/>
        <v>0</v>
      </c>
      <c r="F77">
        <f ca="1" t="shared" si="63"/>
        <v>0</v>
      </c>
      <c r="G77">
        <f ca="1" t="shared" si="64"/>
        <v>6</v>
      </c>
      <c r="H77">
        <f ca="1" t="shared" si="70"/>
        <v>0</v>
      </c>
      <c r="I77">
        <f ca="1" t="shared" si="71"/>
        <v>0</v>
      </c>
      <c r="J77" s="120" t="s">
        <v>103</v>
      </c>
      <c r="K77" s="162" t="str">
        <f ca="1" t="shared" si="65"/>
        <v>1.11.6.</v>
      </c>
      <c r="L77" s="209" t="s">
        <v>228</v>
      </c>
      <c r="M77" s="209" t="s">
        <v>264</v>
      </c>
      <c r="N77" s="230" t="str">
        <f ca="1">IF($A77="S",Referencia.Descricao,"(digite a descrição aqui)")</f>
        <v>EMBOÇO OU MASSA ÚNICA EM ARGAMASSA TRAÇO 1:2:8, PREPARO MECÂNICO COM BETONEIRA 400 L, APLICADA MANUALMENTE EM PANOS CEGOS DE FACHADA (SEM PRESENÇA DE VÃOS), ESPESSURA DE 25 MM. AF_08/2022</v>
      </c>
      <c r="O77" s="229" t="str">
        <f ca="1">Referencia.Unidade</f>
        <v>M2</v>
      </c>
      <c r="P77" s="232">
        <f ca="1">OFFSET(PLQ!$E$12,ROW($P77)-ROW(P$12),0)</f>
        <v>320.06</v>
      </c>
      <c r="Q77" s="228">
        <v>37.5</v>
      </c>
      <c r="R77" s="231" t="s">
        <v>7</v>
      </c>
      <c r="S77" s="121">
        <f ca="1" t="shared" si="55"/>
        <v>45.23</v>
      </c>
      <c r="T77" s="98">
        <f ca="1" t="shared" si="56"/>
        <v>14476.31</v>
      </c>
      <c r="U77" s="13" t="str">
        <f ca="1" t="shared" si="66"/>
        <v/>
      </c>
      <c r="V77" s="4" t="str">
        <f ca="1">IF(OR($A77=0,$A77="S",$A77&gt;CFF!$A$9),"",MAX(V$12:OFFSET(V77,-1,0))+1)</f>
        <v/>
      </c>
      <c r="W77" s="9" t="str">
        <f t="shared" si="67"/>
        <v>Sinapi-87792</v>
      </c>
      <c r="X77" s="4">
        <f ca="1" t="shared" si="57"/>
        <v>6332</v>
      </c>
      <c r="Y77" s="121">
        <f ca="1">IF(Import.Desoneracao="sim",Referencia.Desonerado,Referencia.NaoDesonerado)</f>
        <v>37.5</v>
      </c>
      <c r="Z77" s="132">
        <f ca="1">ROUND(IF(ISNUMBER(R77),R77,IF(LEFT(R77,3)="BDI",HLOOKUP(R77,DADOS!$T$37:$X$38,2,FALSE),0)),15-11*$X$5)</f>
        <v>0.206</v>
      </c>
      <c r="AA77" s="4"/>
    </row>
    <row r="78" spans="1:27" ht="26.4">
      <c r="A78" t="str">
        <f t="shared" si="58"/>
        <v>S</v>
      </c>
      <c r="B78">
        <f t="shared" si="59"/>
        <v>0</v>
      </c>
      <c r="C78">
        <f ca="1" t="shared" si="60"/>
        <v>1</v>
      </c>
      <c r="D78">
        <f ca="1" t="shared" si="61"/>
        <v>11</v>
      </c>
      <c r="E78">
        <f ca="1" t="shared" si="62"/>
        <v>0</v>
      </c>
      <c r="F78">
        <f ca="1" t="shared" si="63"/>
        <v>0</v>
      </c>
      <c r="G78">
        <f ca="1" t="shared" si="64"/>
        <v>7</v>
      </c>
      <c r="H78">
        <f ca="1" t="shared" si="70"/>
        <v>0</v>
      </c>
      <c r="I78">
        <f ca="1" t="shared" si="71"/>
        <v>0</v>
      </c>
      <c r="J78" s="120" t="s">
        <v>103</v>
      </c>
      <c r="K78" s="162" t="str">
        <f ca="1" t="shared" si="65"/>
        <v>1.11.7.</v>
      </c>
      <c r="L78" s="209" t="s">
        <v>228</v>
      </c>
      <c r="M78" s="209" t="s">
        <v>265</v>
      </c>
      <c r="N78" s="230" t="str">
        <f ca="1">IF($A78="S",Referencia.Descricao,"(digite a descrição aqui)")</f>
        <v>FABRICAÇÃO, MONTAGEM E DESMONTAGEM DE FÔRMA PARA VIGA BALDRAME, EM MADEIRA SERRADA, E=25 MM, 4 UTILIZAÇÕES. AF_06/2017</v>
      </c>
      <c r="O78" s="229" t="str">
        <f ca="1">Referencia.Unidade</f>
        <v>M2</v>
      </c>
      <c r="P78" s="232">
        <f ca="1">OFFSET(PLQ!$E$12,ROW($P78)-ROW(P$12),0)</f>
        <v>190.06</v>
      </c>
      <c r="Q78" s="228">
        <v>63.71</v>
      </c>
      <c r="R78" s="231" t="s">
        <v>7</v>
      </c>
      <c r="S78" s="121">
        <f ca="1" t="shared" si="55"/>
        <v>76.83</v>
      </c>
      <c r="T78" s="98">
        <f ca="1" t="shared" si="56"/>
        <v>14602.31</v>
      </c>
      <c r="U78" s="13" t="str">
        <f ca="1" t="shared" si="66"/>
        <v/>
      </c>
      <c r="V78" s="4" t="str">
        <f ca="1">IF(OR($A78=0,$A78="S",$A78&gt;CFF!$A$9),"",MAX(V$12:OFFSET(V78,-1,0))+1)</f>
        <v/>
      </c>
      <c r="W78" s="9" t="str">
        <f t="shared" si="67"/>
        <v>Sinapi-96536</v>
      </c>
      <c r="X78" s="4">
        <f ca="1" t="shared" si="57"/>
        <v>2316</v>
      </c>
      <c r="Y78" s="121">
        <f ca="1">IF(Import.Desoneracao="sim",Referencia.Desonerado,Referencia.NaoDesonerado)</f>
        <v>63.71</v>
      </c>
      <c r="Z78" s="132">
        <f ca="1">ROUND(IF(ISNUMBER(R78),R78,IF(LEFT(R78,3)="BDI",HLOOKUP(R78,DADOS!$T$37:$X$38,2,FALSE),0)),15-11*$X$5)</f>
        <v>0.206</v>
      </c>
      <c r="AA78" s="4"/>
    </row>
    <row r="79" spans="1:27" ht="26.4">
      <c r="A79" t="str">
        <f t="shared" si="58"/>
        <v>S</v>
      </c>
      <c r="B79">
        <f t="shared" si="59"/>
        <v>0</v>
      </c>
      <c r="C79">
        <f ca="1" t="shared" si="60"/>
        <v>1</v>
      </c>
      <c r="D79">
        <f ca="1" t="shared" si="61"/>
        <v>11</v>
      </c>
      <c r="E79">
        <f ca="1" t="shared" si="62"/>
        <v>0</v>
      </c>
      <c r="F79">
        <f ca="1" t="shared" si="63"/>
        <v>0</v>
      </c>
      <c r="G79">
        <f ca="1" t="shared" si="64"/>
        <v>8</v>
      </c>
      <c r="H79">
        <f ca="1" t="shared" si="70"/>
        <v>0</v>
      </c>
      <c r="I79">
        <f ca="1" t="shared" si="71"/>
        <v>0</v>
      </c>
      <c r="J79" s="120" t="s">
        <v>103</v>
      </c>
      <c r="K79" s="162" t="str">
        <f ca="1" t="shared" si="65"/>
        <v>1.11.8.</v>
      </c>
      <c r="L79" s="209" t="s">
        <v>228</v>
      </c>
      <c r="M79" s="209" t="s">
        <v>364</v>
      </c>
      <c r="N79" s="230" t="str">
        <f ca="1">IF($A79="S",Referencia.Descricao,"(digite a descrição aqui)")</f>
        <v>ARMAÇÃO DE PILAR OU VIGA DE ESTRUTURA CONVENCIONAL DE CONCRETO ARMADO UTILIZANDO AÇO CA-50 DE 8,0 MM - MONTAGEM. AF_06/2022</v>
      </c>
      <c r="O79" s="229" t="str">
        <f ca="1">Referencia.Unidade</f>
        <v>KG</v>
      </c>
      <c r="P79" s="232">
        <f ca="1">OFFSET(PLQ!$E$12,ROW($P79)-ROW(P$12),0)</f>
        <v>1172.08</v>
      </c>
      <c r="Q79" s="228">
        <v>13.19</v>
      </c>
      <c r="R79" s="231" t="s">
        <v>7</v>
      </c>
      <c r="S79" s="121">
        <f ca="1" t="shared" si="55"/>
        <v>15.91</v>
      </c>
      <c r="T79" s="98">
        <f ca="1" t="shared" si="56"/>
        <v>18647.79</v>
      </c>
      <c r="U79" s="13" t="str">
        <f ca="1" t="shared" si="66"/>
        <v/>
      </c>
      <c r="V79" s="4" t="str">
        <f ca="1">IF(OR($A79=0,$A79="S",$A79&gt;CFF!$A$9),"",MAX(V$12:OFFSET(V79,-1,0))+1)</f>
        <v/>
      </c>
      <c r="W79" s="9" t="str">
        <f t="shared" si="67"/>
        <v>Sinapi-92761</v>
      </c>
      <c r="X79" s="4">
        <f ca="1" t="shared" si="57"/>
        <v>2438</v>
      </c>
      <c r="Y79" s="121">
        <f ca="1">IF(Import.Desoneracao="sim",Referencia.Desonerado,Referencia.NaoDesonerado)</f>
        <v>13.19</v>
      </c>
      <c r="Z79" s="132">
        <f ca="1">ROUND(IF(ISNUMBER(R79),R79,IF(LEFT(R79,3)="BDI",HLOOKUP(R79,DADOS!$T$37:$X$38,2,FALSE),0)),15-11*$X$5)</f>
        <v>0.206</v>
      </c>
      <c r="AA79" s="4"/>
    </row>
    <row r="80" spans="1:27" ht="26.4">
      <c r="A80" t="str">
        <f t="shared" si="58"/>
        <v>S</v>
      </c>
      <c r="B80">
        <f t="shared" si="59"/>
        <v>0</v>
      </c>
      <c r="C80">
        <f ca="1" t="shared" si="60"/>
        <v>1</v>
      </c>
      <c r="D80">
        <f ca="1" t="shared" si="61"/>
        <v>11</v>
      </c>
      <c r="E80">
        <f ca="1" t="shared" si="62"/>
        <v>0</v>
      </c>
      <c r="F80">
        <f ca="1" t="shared" si="63"/>
        <v>0</v>
      </c>
      <c r="G80">
        <f ca="1" t="shared" si="64"/>
        <v>9</v>
      </c>
      <c r="H80">
        <f ca="1" t="shared" si="70"/>
        <v>0</v>
      </c>
      <c r="I80">
        <f ca="1" t="shared" si="71"/>
        <v>0</v>
      </c>
      <c r="J80" s="120" t="s">
        <v>103</v>
      </c>
      <c r="K80" s="162" t="str">
        <f ca="1" t="shared" si="65"/>
        <v>1.11.9.</v>
      </c>
      <c r="L80" s="209" t="s">
        <v>228</v>
      </c>
      <c r="M80" s="209" t="s">
        <v>269</v>
      </c>
      <c r="N80" s="230" t="str">
        <f ca="1">IF($A80="S",Referencia.Descricao,"(digite a descrição aqui)")</f>
        <v>ARMAÇÃO DE PILAR OU VIGA DE ESTRUTURA CONVENCIONAL DE CONCRETO ARMADO UTILIZANDO AÇO CA-60 DE 5,0 MM - MONTAGEM. AF_06/2022</v>
      </c>
      <c r="O80" s="229" t="str">
        <f ca="1">Referencia.Unidade</f>
        <v>KG</v>
      </c>
      <c r="P80" s="232">
        <f ca="1">OFFSET(PLQ!$E$12,ROW($P80)-ROW(P$12),0)</f>
        <v>397.8</v>
      </c>
      <c r="Q80" s="228">
        <v>14.49</v>
      </c>
      <c r="R80" s="231" t="s">
        <v>7</v>
      </c>
      <c r="S80" s="121">
        <f ca="1" t="shared" si="55"/>
        <v>17.47</v>
      </c>
      <c r="T80" s="98">
        <f ca="1" t="shared" si="56"/>
        <v>6949.57</v>
      </c>
      <c r="U80" s="13" t="str">
        <f ca="1" t="shared" si="66"/>
        <v/>
      </c>
      <c r="V80" s="4" t="str">
        <f ca="1">IF(OR($A80=0,$A80="S",$A80&gt;CFF!$A$9),"",MAX(V$12:OFFSET(V80,-1,0))+1)</f>
        <v/>
      </c>
      <c r="W80" s="9" t="str">
        <f t="shared" si="67"/>
        <v>Sinapi-92759</v>
      </c>
      <c r="X80" s="4">
        <f ca="1" t="shared" si="57"/>
        <v>2436</v>
      </c>
      <c r="Y80" s="121">
        <f ca="1">IF(Import.Desoneracao="sim",Referencia.Desonerado,Referencia.NaoDesonerado)</f>
        <v>14.49</v>
      </c>
      <c r="Z80" s="132">
        <f ca="1">ROUND(IF(ISNUMBER(R80),R80,IF(LEFT(R80,3)="BDI",HLOOKUP(R80,DADOS!$T$37:$X$38,2,FALSE),0)),15-11*$X$5)</f>
        <v>0.206</v>
      </c>
      <c r="AA80" s="4"/>
    </row>
    <row r="81" spans="1:27" ht="26.4">
      <c r="A81" t="str">
        <f t="shared" si="58"/>
        <v>S</v>
      </c>
      <c r="B81">
        <f t="shared" si="59"/>
        <v>0</v>
      </c>
      <c r="C81">
        <f ca="1" t="shared" si="60"/>
        <v>1</v>
      </c>
      <c r="D81">
        <f ca="1" t="shared" si="61"/>
        <v>11</v>
      </c>
      <c r="E81">
        <f ca="1" t="shared" si="62"/>
        <v>0</v>
      </c>
      <c r="F81">
        <f ca="1" t="shared" si="63"/>
        <v>0</v>
      </c>
      <c r="G81">
        <f ca="1" t="shared" si="64"/>
        <v>10</v>
      </c>
      <c r="H81">
        <f ca="1" t="shared" si="70"/>
        <v>0</v>
      </c>
      <c r="I81">
        <f ca="1" t="shared" si="71"/>
        <v>0</v>
      </c>
      <c r="J81" s="120" t="s">
        <v>103</v>
      </c>
      <c r="K81" s="162" t="str">
        <f ca="1" t="shared" si="65"/>
        <v>1.11.10.</v>
      </c>
      <c r="L81" s="209" t="s">
        <v>228</v>
      </c>
      <c r="M81" s="209" t="s">
        <v>266</v>
      </c>
      <c r="N81" s="230" t="str">
        <f ca="1">IF($A81="S",Referencia.Descricao,"(digite a descrição aqui)")</f>
        <v>CONCRETAGEM DE BLOCOS DE COROAMENTO E VIGAS BALDRAMES, FCK 30 MPA, COM USO DE BOMBA  LANÇAMENTO, ADENSAMENTO E ACABAMENTO. AF_06/2017</v>
      </c>
      <c r="O81" s="229" t="str">
        <f ca="1">Referencia.Unidade</f>
        <v>M3</v>
      </c>
      <c r="P81" s="232">
        <f ca="1">OFFSET(PLQ!$E$12,ROW($P81)-ROW(P$12),0)</f>
        <v>18.98</v>
      </c>
      <c r="Q81" s="228">
        <v>639.01</v>
      </c>
      <c r="R81" s="231" t="s">
        <v>7</v>
      </c>
      <c r="S81" s="121">
        <f ca="1" t="shared" si="55"/>
        <v>770.65</v>
      </c>
      <c r="T81" s="98">
        <f ca="1" t="shared" si="56"/>
        <v>14626.94</v>
      </c>
      <c r="U81" s="13" t="str">
        <f ca="1" t="shared" si="66"/>
        <v/>
      </c>
      <c r="V81" s="4" t="str">
        <f ca="1">IF(OR($A81=0,$A81="S",$A81&gt;CFF!$A$9),"",MAX(V$12:OFFSET(V81,-1,0))+1)</f>
        <v/>
      </c>
      <c r="W81" s="9" t="str">
        <f t="shared" si="67"/>
        <v>Sinapi-96557</v>
      </c>
      <c r="X81" s="4">
        <f ca="1" t="shared" si="57"/>
        <v>2552</v>
      </c>
      <c r="Y81" s="121">
        <f ca="1">IF(Import.Desoneracao="sim",Referencia.Desonerado,Referencia.NaoDesonerado)</f>
        <v>639.01</v>
      </c>
      <c r="Z81" s="132">
        <f ca="1">ROUND(IF(ISNUMBER(R81),R81,IF(LEFT(R81,3)="BDI",HLOOKUP(R81,DADOS!$T$37:$X$38,2,FALSE),0)),15-11*$X$5)</f>
        <v>0.206</v>
      </c>
      <c r="AA81" s="4"/>
    </row>
    <row r="82" spans="1:27" ht="39.6">
      <c r="A82" t="str">
        <f t="shared" si="58"/>
        <v>S</v>
      </c>
      <c r="B82">
        <f t="shared" si="59"/>
        <v>0</v>
      </c>
      <c r="C82">
        <f ca="1" t="shared" si="60"/>
        <v>1</v>
      </c>
      <c r="D82">
        <f ca="1" t="shared" si="61"/>
        <v>11</v>
      </c>
      <c r="E82">
        <f ca="1" t="shared" si="62"/>
        <v>0</v>
      </c>
      <c r="F82">
        <f ca="1" t="shared" si="63"/>
        <v>0</v>
      </c>
      <c r="G82">
        <f ca="1" t="shared" si="64"/>
        <v>11</v>
      </c>
      <c r="H82">
        <f ca="1" t="shared" si="70"/>
        <v>0</v>
      </c>
      <c r="I82">
        <f ca="1" t="shared" si="71"/>
        <v>0</v>
      </c>
      <c r="J82" s="120" t="s">
        <v>103</v>
      </c>
      <c r="K82" s="162" t="str">
        <f ca="1" t="shared" si="65"/>
        <v>1.11.11.</v>
      </c>
      <c r="L82" s="209" t="s">
        <v>228</v>
      </c>
      <c r="M82" s="209" t="s">
        <v>325</v>
      </c>
      <c r="N82" s="230" t="str">
        <f ca="1">IF($A82="S",Referencia.Descricao,"(digite a descrição aqui)")</f>
        <v>ATERRO MECANIZADO DE VALA COM ESCAVADEIRA HIDRÁULICA (CAPACIDADE DA CAÇAMBA: 0,8 M³ / POTÊNCIA: 111 HP), LARGURA DE 1,5 A 2,5 M, PROFUNDIDADE ATÉ 1,5 M, COM SOLO ARGILO-ARENOSO. AF_05/2016</v>
      </c>
      <c r="O82" s="229" t="str">
        <f ca="1">Referencia.Unidade</f>
        <v>M3</v>
      </c>
      <c r="P82" s="232">
        <f ca="1">OFFSET(PLQ!$E$12,ROW($P82)-ROW(P$12),0)</f>
        <v>358.67</v>
      </c>
      <c r="Q82" s="228">
        <v>68.67</v>
      </c>
      <c r="R82" s="231" t="s">
        <v>7</v>
      </c>
      <c r="S82" s="121">
        <f ca="1" t="shared" si="55"/>
        <v>82.82</v>
      </c>
      <c r="T82" s="98">
        <f ca="1" t="shared" si="56"/>
        <v>29705.05</v>
      </c>
      <c r="U82" s="13" t="str">
        <f ca="1" t="shared" si="66"/>
        <v/>
      </c>
      <c r="V82" s="4" t="str">
        <f ca="1">IF(OR($A82=0,$A82="S",$A82&gt;CFF!$A$9),"",MAX(V$12:OFFSET(V82,-1,0))+1)</f>
        <v/>
      </c>
      <c r="W82" s="9" t="str">
        <f t="shared" si="67"/>
        <v>Sinapi-94304</v>
      </c>
      <c r="X82" s="4">
        <f ca="1" t="shared" si="57"/>
        <v>5673</v>
      </c>
      <c r="Y82" s="121">
        <f ca="1">IF(Import.Desoneracao="sim",Referencia.Desonerado,Referencia.NaoDesonerado)</f>
        <v>68.67</v>
      </c>
      <c r="Z82" s="132">
        <f ca="1">ROUND(IF(ISNUMBER(R82),R82,IF(LEFT(R82,3)="BDI",HLOOKUP(R82,DADOS!$T$37:$X$38,2,FALSE),0)),15-11*$X$5)</f>
        <v>0.206</v>
      </c>
      <c r="AA82" s="4"/>
    </row>
    <row r="83" spans="1:27" ht="26.4">
      <c r="A83" t="str">
        <f t="shared" si="58"/>
        <v>S</v>
      </c>
      <c r="B83">
        <f t="shared" si="59"/>
        <v>0</v>
      </c>
      <c r="C83">
        <f ca="1" t="shared" si="60"/>
        <v>1</v>
      </c>
      <c r="D83">
        <f ca="1" t="shared" si="61"/>
        <v>11</v>
      </c>
      <c r="E83">
        <f ca="1" t="shared" si="62"/>
        <v>0</v>
      </c>
      <c r="F83">
        <f ca="1" t="shared" si="63"/>
        <v>0</v>
      </c>
      <c r="G83">
        <f ca="1" t="shared" si="64"/>
        <v>12</v>
      </c>
      <c r="H83">
        <f ca="1" t="shared" si="70"/>
        <v>0</v>
      </c>
      <c r="I83">
        <f ca="1" t="shared" si="71"/>
        <v>0</v>
      </c>
      <c r="J83" s="120" t="s">
        <v>103</v>
      </c>
      <c r="K83" s="162" t="str">
        <f ca="1" t="shared" si="65"/>
        <v>1.11.12.</v>
      </c>
      <c r="L83" s="209" t="s">
        <v>228</v>
      </c>
      <c r="M83" s="209" t="s">
        <v>326</v>
      </c>
      <c r="N83" s="230" t="str">
        <f ca="1">IF($A83="S",Referencia.Descricao,"(digite a descrição aqui)")</f>
        <v>CONTRAPISO COM ARGAMASSA AUTONIVELANTE, APLICADO SOBRE LAJE, NÃO ADERIDO, ESPESSURA 5CM. AF_07/2021</v>
      </c>
      <c r="O83" s="229" t="str">
        <f ca="1">Referencia.Unidade</f>
        <v>M2</v>
      </c>
      <c r="P83" s="232">
        <f ca="1">OFFSET(PLQ!$E$12,ROW($P83)-ROW(P$12),0)</f>
        <v>597.74</v>
      </c>
      <c r="Q83" s="228">
        <v>36.24</v>
      </c>
      <c r="R83" s="231" t="s">
        <v>7</v>
      </c>
      <c r="S83" s="121">
        <f ca="1" t="shared" si="55"/>
        <v>43.71</v>
      </c>
      <c r="T83" s="98">
        <f ca="1" t="shared" si="56"/>
        <v>26127.22</v>
      </c>
      <c r="U83" s="13" t="str">
        <f ca="1" t="shared" si="66"/>
        <v/>
      </c>
      <c r="V83" s="4" t="str">
        <f ca="1">IF(OR($A83=0,$A83="S",$A83&gt;CFF!$A$9),"",MAX(V$12:OFFSET(V83,-1,0))+1)</f>
        <v/>
      </c>
      <c r="W83" s="9" t="str">
        <f t="shared" si="67"/>
        <v>Sinapi-88472</v>
      </c>
      <c r="X83" s="4">
        <f ca="1" t="shared" si="57"/>
        <v>6230</v>
      </c>
      <c r="Y83" s="121">
        <f ca="1">IF(Import.Desoneracao="sim",Referencia.Desonerado,Referencia.NaoDesonerado)</f>
        <v>36.24</v>
      </c>
      <c r="Z83" s="132">
        <f ca="1">ROUND(IF(ISNUMBER(R83),R83,IF(LEFT(R83,3)="BDI",HLOOKUP(R83,DADOS!$T$37:$X$38,2,FALSE),0)),15-11*$X$5)</f>
        <v>0.206</v>
      </c>
      <c r="AA83" s="4"/>
    </row>
    <row r="84" spans="1:27" ht="26.4">
      <c r="A84" t="str">
        <f t="shared" si="58"/>
        <v>S</v>
      </c>
      <c r="B84">
        <f t="shared" si="59"/>
        <v>0</v>
      </c>
      <c r="C84">
        <f ca="1" t="shared" si="60"/>
        <v>1</v>
      </c>
      <c r="D84">
        <f ca="1" t="shared" si="61"/>
        <v>11</v>
      </c>
      <c r="E84">
        <f ca="1" t="shared" si="62"/>
        <v>0</v>
      </c>
      <c r="F84">
        <f ca="1" t="shared" si="63"/>
        <v>0</v>
      </c>
      <c r="G84">
        <f ca="1" t="shared" si="64"/>
        <v>13</v>
      </c>
      <c r="H84">
        <f ca="1" t="shared" si="70"/>
        <v>0</v>
      </c>
      <c r="I84">
        <f ca="1" t="shared" si="71"/>
        <v>0</v>
      </c>
      <c r="J84" s="120" t="s">
        <v>103</v>
      </c>
      <c r="K84" s="162" t="str">
        <f ca="1" t="shared" si="65"/>
        <v>1.11.13.</v>
      </c>
      <c r="L84" s="209" t="s">
        <v>286</v>
      </c>
      <c r="M84" s="209" t="s">
        <v>285</v>
      </c>
      <c r="N84" s="230" t="str">
        <f ca="1">IF($A84="S",Referencia.Descricao,"(digite a descrição aqui)")</f>
        <v xml:space="preserve">PISO EM GRANILITE, MARMORITE OU GRANITINA, AGREGADO COR PRETO, CINZA, PALHA OU BRANCO, E=  *8* MM (INCLUSO EXECUCAO)                                                                                                                                                                                                                                                                                                                                                                                      </v>
      </c>
      <c r="O84" s="229" t="str">
        <f ca="1">Referencia.Unidade</f>
        <v xml:space="preserve">M2    </v>
      </c>
      <c r="P84" s="232">
        <f ca="1">OFFSET(PLQ!$E$12,ROW($P84)-ROW(P$12),0)</f>
        <v>670.02</v>
      </c>
      <c r="Q84" s="228">
        <v>120</v>
      </c>
      <c r="R84" s="231" t="s">
        <v>7</v>
      </c>
      <c r="S84" s="121">
        <f ca="1" t="shared" si="55"/>
        <v>144.72</v>
      </c>
      <c r="T84" s="98">
        <f ca="1" t="shared" si="56"/>
        <v>96965.29</v>
      </c>
      <c r="U84" s="13" t="str">
        <f ca="1" t="shared" si="66"/>
        <v/>
      </c>
      <c r="V84" s="4" t="str">
        <f ca="1">IF(OR($A84=0,$A84="S",$A84&gt;CFF!$A$9),"",MAX(V$12:OFFSET(V84,-1,0))+1)</f>
        <v/>
      </c>
      <c r="W84" s="9" t="str">
        <f t="shared" si="67"/>
        <v>Sinapi-i-4786</v>
      </c>
      <c r="X84" s="4">
        <f ca="1" t="shared" si="57"/>
        <v>10918</v>
      </c>
      <c r="Y84" s="121">
        <f ca="1">IF(Import.Desoneracao="sim",Referencia.Desonerado,Referencia.NaoDesonerado)</f>
        <v>120</v>
      </c>
      <c r="Z84" s="132">
        <f ca="1">ROUND(IF(ISNUMBER(R84),R84,IF(LEFT(R84,3)="BDI",HLOOKUP(R84,DADOS!$T$37:$X$38,2,FALSE),0)),15-11*$X$5)</f>
        <v>0.206</v>
      </c>
      <c r="AA84" s="4"/>
    </row>
    <row r="85" spans="1:27" ht="52.8">
      <c r="A85" t="str">
        <f t="shared" si="58"/>
        <v>S</v>
      </c>
      <c r="B85">
        <f t="shared" si="59"/>
        <v>0</v>
      </c>
      <c r="C85">
        <f ca="1" t="shared" si="60"/>
        <v>1</v>
      </c>
      <c r="D85">
        <f ca="1" t="shared" si="61"/>
        <v>11</v>
      </c>
      <c r="E85">
        <f ca="1" t="shared" si="62"/>
        <v>0</v>
      </c>
      <c r="F85">
        <f ca="1" t="shared" si="63"/>
        <v>0</v>
      </c>
      <c r="G85">
        <f ca="1" t="shared" si="64"/>
        <v>14</v>
      </c>
      <c r="H85">
        <f ca="1" t="shared" si="70"/>
        <v>0</v>
      </c>
      <c r="I85">
        <f ca="1" t="shared" si="71"/>
        <v>0</v>
      </c>
      <c r="J85" s="120" t="s">
        <v>103</v>
      </c>
      <c r="K85" s="162" t="str">
        <f ca="1" t="shared" si="65"/>
        <v>1.11.14.</v>
      </c>
      <c r="L85" s="209" t="s">
        <v>228</v>
      </c>
      <c r="M85" s="209" t="s">
        <v>328</v>
      </c>
      <c r="N85" s="230" t="str">
        <f ca="1">IF($A85="S",Referencia.Descricao,"(digite a descrição aqui)")</f>
        <v>GUARDA-CORPO DE AÇO GALVANIZADO DE 1,10M DE ALTURA, MONTANTES TUBULARES DE 1.1/2  ESPAÇADOS DE 1,20M, TRAVESSA SUPERIOR DE 2 , GRADIL FORMADO POR BARRAS CHATAS EM FERRO DE 32X4,8MM, FIXADO COM CHUMBADOR MECÂNICO. AF_04/2019_PS</v>
      </c>
      <c r="O85" s="229" t="str">
        <f ca="1">Referencia.Unidade</f>
        <v>M</v>
      </c>
      <c r="P85" s="232">
        <f ca="1">OFFSET(PLQ!$E$12,ROW($P85)-ROW(P$12),0)</f>
        <v>144.3</v>
      </c>
      <c r="Q85" s="228">
        <v>468.93</v>
      </c>
      <c r="R85" s="231" t="s">
        <v>7</v>
      </c>
      <c r="S85" s="121">
        <f ca="1" t="shared" si="55"/>
        <v>565.53</v>
      </c>
      <c r="T85" s="98">
        <f ca="1" t="shared" si="56"/>
        <v>81605.98</v>
      </c>
      <c r="U85" s="13" t="str">
        <f ca="1" t="shared" si="66"/>
        <v/>
      </c>
      <c r="V85" s="4" t="str">
        <f ca="1">IF(OR($A85=0,$A85="S",$A85&gt;CFF!$A$9),"",MAX(V$12:OFFSET(V85,-1,0))+1)</f>
        <v/>
      </c>
      <c r="W85" s="9" t="str">
        <f t="shared" si="67"/>
        <v>Sinapi-99839</v>
      </c>
      <c r="X85" s="4">
        <f ca="1" t="shared" si="57"/>
        <v>2056</v>
      </c>
      <c r="Y85" s="121">
        <f ca="1">IF(Import.Desoneracao="sim",Referencia.Desonerado,Referencia.NaoDesonerado)</f>
        <v>468.93</v>
      </c>
      <c r="Z85" s="132">
        <f ca="1">ROUND(IF(ISNUMBER(R85),R85,IF(LEFT(R85,3)="BDI",HLOOKUP(R85,DADOS!$T$37:$X$38,2,FALSE),0)),15-11*$X$5)</f>
        <v>0.206</v>
      </c>
      <c r="AA85" s="4"/>
    </row>
    <row r="86" spans="1:27" ht="12.75">
      <c r="A86">
        <f t="shared" si="58"/>
        <v>2</v>
      </c>
      <c r="B86">
        <f ca="1" t="shared" si="59"/>
        <v>11</v>
      </c>
      <c r="C86">
        <f ca="1" t="shared" si="60"/>
        <v>1</v>
      </c>
      <c r="D86">
        <f ca="1" t="shared" si="61"/>
        <v>12</v>
      </c>
      <c r="E86">
        <f ca="1" t="shared" si="62"/>
        <v>0</v>
      </c>
      <c r="F86">
        <f ca="1" t="shared" si="63"/>
        <v>0</v>
      </c>
      <c r="G86">
        <f ca="1" t="shared" si="64"/>
        <v>0</v>
      </c>
      <c r="H86">
        <f ca="1" t="shared" si="70"/>
        <v>88</v>
      </c>
      <c r="I86">
        <f ca="1" t="shared" si="71"/>
        <v>11</v>
      </c>
      <c r="J86" s="120" t="s">
        <v>100</v>
      </c>
      <c r="K86" s="162" t="str">
        <f ca="1" t="shared" si="65"/>
        <v>1.12.</v>
      </c>
      <c r="L86" s="209"/>
      <c r="M86" s="209"/>
      <c r="N86" s="230" t="s">
        <v>288</v>
      </c>
      <c r="O86" s="229" t="str">
        <f ca="1">Referencia.Unidade</f>
        <v/>
      </c>
      <c r="P86" s="232">
        <f ca="1">OFFSET(PLQ!$E$12,ROW($P86)-ROW(P$12),0)</f>
        <v>0</v>
      </c>
      <c r="Q86" s="228"/>
      <c r="R86" s="231" t="s">
        <v>7</v>
      </c>
      <c r="S86" s="121">
        <f t="shared" si="55"/>
        <v>0</v>
      </c>
      <c r="T86" s="98">
        <f ca="1" t="shared" si="56"/>
        <v>479140.99</v>
      </c>
      <c r="U86" s="13" t="str">
        <f ca="1" t="shared" si="66"/>
        <v/>
      </c>
      <c r="V86" s="4">
        <f ca="1">IF(OR($A86=0,$A86="S",$A86&gt;CFF!$A$9),"",MAX(V$12:OFFSET(V86,-1,0))+1)</f>
        <v>13</v>
      </c>
      <c r="W86" s="9" t="b">
        <f t="shared" si="67"/>
        <v>0</v>
      </c>
      <c r="X86" s="4" t="str">
        <f ca="1" t="shared" si="57"/>
        <v>X</v>
      </c>
      <c r="Y86" s="121">
        <f ca="1">IF(Import.Desoneracao="sim",Referencia.Desonerado,Referencia.NaoDesonerado)</f>
        <v>0</v>
      </c>
      <c r="Z86" s="132">
        <f ca="1">ROUND(IF(ISNUMBER(R86),R86,IF(LEFT(R86,3)="BDI",HLOOKUP(R86,DADOS!$T$37:$X$38,2,FALSE),0)),15-11*$X$5)</f>
        <v>0.206</v>
      </c>
      <c r="AA86" s="4"/>
    </row>
    <row r="87" spans="1:27" ht="26.4">
      <c r="A87" t="str">
        <f t="shared" si="58"/>
        <v>S</v>
      </c>
      <c r="B87">
        <f t="shared" si="59"/>
        <v>0</v>
      </c>
      <c r="C87">
        <f ca="1" t="shared" si="60"/>
        <v>1</v>
      </c>
      <c r="D87">
        <f ca="1" t="shared" si="61"/>
        <v>12</v>
      </c>
      <c r="E87">
        <f ca="1" t="shared" si="62"/>
        <v>0</v>
      </c>
      <c r="F87">
        <f ca="1" t="shared" si="63"/>
        <v>0</v>
      </c>
      <c r="G87">
        <f ca="1" t="shared" si="64"/>
        <v>1</v>
      </c>
      <c r="H87">
        <f ca="1" t="shared" si="70"/>
        <v>0</v>
      </c>
      <c r="I87">
        <f ca="1" t="shared" si="71"/>
        <v>0</v>
      </c>
      <c r="J87" s="120" t="s">
        <v>103</v>
      </c>
      <c r="K87" s="162" t="str">
        <f ca="1" t="shared" si="65"/>
        <v>1.12.1.</v>
      </c>
      <c r="L87" s="209" t="s">
        <v>286</v>
      </c>
      <c r="M87" s="209" t="s">
        <v>289</v>
      </c>
      <c r="N87" s="230" t="str">
        <f ca="1">IF($A87="S",Referencia.Descricao,"(digite a descrição aqui)")</f>
        <v xml:space="preserve">VIGA APARELHADA *6 X 16* CM, EM MACARANDUBA, ANGELIM OU EQUIVALENTE DA REGIAO                                                                                                                                                                                                                                                                                                                                                                                                                             </v>
      </c>
      <c r="O87" s="229" t="str">
        <f ca="1">Referencia.Unidade</f>
        <v xml:space="preserve">M     </v>
      </c>
      <c r="P87" s="232">
        <f ca="1">OFFSET(PLQ!$E$12,ROW($P87)-ROW(P$12),0)</f>
        <v>468</v>
      </c>
      <c r="Q87" s="228">
        <v>20.34</v>
      </c>
      <c r="R87" s="231" t="s">
        <v>8</v>
      </c>
      <c r="S87" s="121">
        <f ca="1" t="shared" si="55"/>
        <v>22.91</v>
      </c>
      <c r="T87" s="98">
        <f ca="1" t="shared" si="56"/>
        <v>10721.88</v>
      </c>
      <c r="U87" s="13" t="str">
        <f ca="1" t="shared" si="66"/>
        <v/>
      </c>
      <c r="V87" s="4" t="str">
        <f ca="1">IF(OR($A87=0,$A87="S",$A87&gt;CFF!$A$9),"",MAX(V$12:OFFSET(V87,-1,0))+1)</f>
        <v/>
      </c>
      <c r="W87" s="9" t="str">
        <f t="shared" si="67"/>
        <v>Sinapi-i-20211</v>
      </c>
      <c r="X87" s="4">
        <f ca="1" t="shared" si="57"/>
        <v>12445</v>
      </c>
      <c r="Y87" s="121">
        <f ca="1">IF(Import.Desoneracao="sim",Referencia.Desonerado,Referencia.NaoDesonerado)</f>
        <v>20.34</v>
      </c>
      <c r="Z87" s="132">
        <f ca="1">ROUND(IF(ISNUMBER(R87),R87,IF(LEFT(R87,3)="BDI",HLOOKUP(R87,DADOS!$T$37:$X$38,2,FALSE),0)),15-11*$X$5)</f>
        <v>0.1262</v>
      </c>
      <c r="AA87" s="4"/>
    </row>
    <row r="88" spans="1:27" ht="26.4">
      <c r="A88" t="str">
        <f>CHOOSE(1+LOG(1+2*(J88="Meta")+4*(J88="Nível 2")+8*(J88="Nível 3")+16*(J88="Nível 4")+32*(J88="Serviço"),2),0,1,2,3,4,"S")</f>
        <v>S</v>
      </c>
      <c r="B88">
        <f>IF(OR(A88="S",A88=0),0,IF(ISERROR(I88),H88,SMALL(H88:I88,1)))</f>
        <v>0</v>
      </c>
      <c r="C88">
        <f ca="1">IF($A88=1,OFFSET(C88,-1,0)+1,OFFSET(C88,-1,0))</f>
        <v>1</v>
      </c>
      <c r="D88">
        <f ca="1">IF($A88=1,0,IF($A88=2,OFFSET(D88,-1,0)+1,OFFSET(D88,-1,0)))</f>
        <v>12</v>
      </c>
      <c r="E88">
        <f ca="1">IF(AND($A88&lt;=2,$A88&lt;&gt;0),0,IF($A88=3,OFFSET(E88,-1,0)+1,OFFSET(E88,-1,0)))</f>
        <v>0</v>
      </c>
      <c r="F88">
        <f ca="1">IF(AND($A88&lt;=3,$A88&lt;&gt;0),0,IF($A88=4,OFFSET(F88,-1,0)+1,OFFSET(F88,-1,0)))</f>
        <v>0</v>
      </c>
      <c r="G88">
        <f ca="1">IF(AND($A88&lt;=4,$A88&lt;&gt;0),0,IF($A88="S",OFFSET(G88,-1,0)+1,OFFSET(G88,-1,0)))</f>
        <v>2</v>
      </c>
      <c r="H88">
        <f ca="1" t="shared" si="70"/>
        <v>0</v>
      </c>
      <c r="I88">
        <f ca="1" t="shared" si="71"/>
        <v>0</v>
      </c>
      <c r="J88" s="120" t="s">
        <v>103</v>
      </c>
      <c r="K88" s="162" t="str">
        <f ca="1">IF($A88=0,"-",CONCATENATE(C88&amp;".",IF(AND($A$5&gt;=2,$A88&gt;=2),D88&amp;".",""),IF(AND($A$5&gt;=3,$A88&gt;=3),E88&amp;".",""),IF(AND($A$5&gt;=4,$A88&gt;=4),F88&amp;".",""),IF($A88="S",G88&amp;".","")))</f>
        <v>1.12.2.</v>
      </c>
      <c r="L88" s="209" t="s">
        <v>286</v>
      </c>
      <c r="M88" s="209" t="s">
        <v>310</v>
      </c>
      <c r="N88" s="230" t="str">
        <f ca="1">IF($A88="S",Referencia.Descricao,"(digite a descrição aqui)")</f>
        <v xml:space="preserve">VIGA APARELHADA  *6 X 12* CM, EM MACARANDUBA, ANGELIM OU EQUIVALENTE DA REGIAO                                                                                                                                                                                                                                                                                                                                                                                                                            </v>
      </c>
      <c r="O88" s="229" t="str">
        <f ca="1">Referencia.Unidade</f>
        <v xml:space="preserve">M     </v>
      </c>
      <c r="P88" s="232">
        <f ca="1">OFFSET(PLQ!$E$12,ROW($P88)-ROW(P$12),0)</f>
        <v>3976.7</v>
      </c>
      <c r="Q88" s="228">
        <v>15.36</v>
      </c>
      <c r="R88" s="231" t="s">
        <v>8</v>
      </c>
      <c r="S88" s="121">
        <f ca="1">IF($A88="S",IF($Q$10="Preço Unitário (R$)",PO.CustoUnitario,ROUND(PO.CustoUnitario*(1+$Z88),15-13*$X$6)),0)</f>
        <v>17.3</v>
      </c>
      <c r="T88" s="98">
        <f ca="1">IF($A88="S",VTOTAL1,IF($A88=0,0,ROUND(SomaAgrup,15-13*$X$7)))</f>
        <v>68796.91</v>
      </c>
      <c r="U88" s="13" t="str">
        <f ca="1">IF($J88="","",IF($N88="","DESCRIÇÃO",IF(AND($J88="Serviço",$O88=""),"UNIDADE",IF($T88&lt;=0,"SEM VALOR",IF(AND($Y88&lt;&gt;"",$Q88&gt;$Y88),"ACIMA REF.","")))))</f>
        <v/>
      </c>
      <c r="V88" s="4" t="str">
        <f ca="1">IF(OR($A88=0,$A88="S",$A88&gt;CFF!$A$9),"",MAX(V$12:OFFSET(V88,-1,0))+1)</f>
        <v/>
      </c>
      <c r="W88" s="9" t="str">
        <f>IF(AND($J88="Serviço",$M88&lt;&gt;""),IF($L88="",$M88,CONCATENATE($L88,"-",$M88)))</f>
        <v>Sinapi-i-20213</v>
      </c>
      <c r="X88" s="4">
        <f ca="1">IF(AND(Fonte&lt;&gt;"",Código&lt;&gt;""),MATCH(Fonte&amp;" "&amp;IF(Fonte="sinapi",SUBSTITUTE(SUBSTITUTE(Código,"/00","/"),"/0","/"),Código),INDIRECT("'[Referência "&amp;_XLNM.DATABASE&amp;".xls]Banco'!$a:$a"),0),"X")</f>
        <v>12444</v>
      </c>
      <c r="Y88" s="121">
        <f ca="1">IF(Import.Desoneracao="sim",Referencia.Desonerado,Referencia.NaoDesonerado)</f>
        <v>15.36</v>
      </c>
      <c r="Z88" s="132">
        <f ca="1">ROUND(IF(ISNUMBER(R88),R88,IF(LEFT(R88,3)="BDI",HLOOKUP(R88,DADOS!$T$37:$X$38,2,FALSE),0)),15-11*$X$5)</f>
        <v>0.1262</v>
      </c>
      <c r="AA88" s="4"/>
    </row>
    <row r="89" spans="1:27" ht="26.4">
      <c r="A89" t="str">
        <f t="shared" si="58"/>
        <v>S</v>
      </c>
      <c r="B89">
        <f t="shared" si="59"/>
        <v>0</v>
      </c>
      <c r="C89">
        <f ca="1" t="shared" si="60"/>
        <v>1</v>
      </c>
      <c r="D89">
        <f ca="1" t="shared" si="61"/>
        <v>12</v>
      </c>
      <c r="E89">
        <f ca="1" t="shared" si="62"/>
        <v>0</v>
      </c>
      <c r="F89">
        <f ca="1" t="shared" si="63"/>
        <v>0</v>
      </c>
      <c r="G89">
        <f ca="1" t="shared" si="64"/>
        <v>3</v>
      </c>
      <c r="H89">
        <f ca="1" t="shared" si="70"/>
        <v>0</v>
      </c>
      <c r="I89">
        <f ca="1" t="shared" si="71"/>
        <v>0</v>
      </c>
      <c r="J89" s="120" t="s">
        <v>103</v>
      </c>
      <c r="K89" s="162" t="str">
        <f ca="1" t="shared" si="65"/>
        <v>1.12.3.</v>
      </c>
      <c r="L89" s="209" t="s">
        <v>286</v>
      </c>
      <c r="M89" s="209" t="s">
        <v>290</v>
      </c>
      <c r="N89" s="230" t="str">
        <f ca="1">IF($A89="S",Referencia.Descricao,"(digite a descrição aqui)")</f>
        <v xml:space="preserve">FORRO DE MADEIRA CEDRINHO OU EQUIVALENTE DA REGIAO, ENCAIXE MACHO/FEMEA COM FRISO, *10 X 1* CM (SEM COLOCACAO)                                                                                                                                                                                                                                                                                                                                                                                            </v>
      </c>
      <c r="O89" s="229" t="str">
        <f ca="1">Referencia.Unidade</f>
        <v xml:space="preserve">M2    </v>
      </c>
      <c r="P89" s="232">
        <f ca="1">OFFSET(PLQ!$E$12,ROW($P89)-ROW(P$12),0)</f>
        <v>2034.63</v>
      </c>
      <c r="Q89" s="228">
        <v>77.16</v>
      </c>
      <c r="R89" s="231" t="s">
        <v>8</v>
      </c>
      <c r="S89" s="121">
        <f ca="1" t="shared" si="55"/>
        <v>86.9</v>
      </c>
      <c r="T89" s="98">
        <f ca="1" t="shared" si="56"/>
        <v>176809.35</v>
      </c>
      <c r="U89" s="13" t="str">
        <f ca="1" t="shared" si="66"/>
        <v/>
      </c>
      <c r="V89" s="4" t="str">
        <f ca="1">IF(OR($A89=0,$A89="S",$A89&gt;CFF!$A$9),"",MAX(V$12:OFFSET(V89,-1,0))+1)</f>
        <v/>
      </c>
      <c r="W89" s="9" t="str">
        <f t="shared" si="67"/>
        <v>Sinapi-i-3286</v>
      </c>
      <c r="X89" s="4">
        <f ca="1" t="shared" si="57"/>
        <v>9630</v>
      </c>
      <c r="Y89" s="121">
        <f ca="1">IF(Import.Desoneracao="sim",Referencia.Desonerado,Referencia.NaoDesonerado)</f>
        <v>77.16</v>
      </c>
      <c r="Z89" s="132">
        <f ca="1">ROUND(IF(ISNUMBER(R89),R89,IF(LEFT(R89,3)="BDI",HLOOKUP(R89,DADOS!$T$37:$X$38,2,FALSE),0)),15-11*$X$5)</f>
        <v>0.1262</v>
      </c>
      <c r="AA89" s="4"/>
    </row>
    <row r="90" spans="1:27" ht="12.75">
      <c r="A90" t="str">
        <f>CHOOSE(1+LOG(1+2*(J90="Meta")+4*(J90="Nível 2")+8*(J90="Nível 3")+16*(J90="Nível 4")+32*(J90="Serviço"),2),0,1,2,3,4,"S")</f>
        <v>S</v>
      </c>
      <c r="B90">
        <f>IF(OR(A90="S",A90=0),0,IF(ISERROR(I90),H90,SMALL(H90:I90,1)))</f>
        <v>0</v>
      </c>
      <c r="C90">
        <f ca="1">IF($A90=1,OFFSET(C90,-1,0)+1,OFFSET(C90,-1,0))</f>
        <v>1</v>
      </c>
      <c r="D90">
        <f ca="1">IF($A90=1,0,IF($A90=2,OFFSET(D90,-1,0)+1,OFFSET(D90,-1,0)))</f>
        <v>12</v>
      </c>
      <c r="E90">
        <f ca="1">IF(AND($A90&lt;=2,$A90&lt;&gt;0),0,IF($A90=3,OFFSET(E90,-1,0)+1,OFFSET(E90,-1,0)))</f>
        <v>0</v>
      </c>
      <c r="F90">
        <f ca="1">IF(AND($A90&lt;=3,$A90&lt;&gt;0),0,IF($A90=4,OFFSET(F90,-1,0)+1,OFFSET(F90,-1,0)))</f>
        <v>0</v>
      </c>
      <c r="G90">
        <f ca="1">IF(AND($A90&lt;=4,$A90&lt;&gt;0),0,IF($A90="S",OFFSET(G90,-1,0)+1,OFFSET(G90,-1,0)))</f>
        <v>4</v>
      </c>
      <c r="H90">
        <f ca="1" t="shared" si="70"/>
        <v>0</v>
      </c>
      <c r="I90">
        <f ca="1" t="shared" si="71"/>
        <v>0</v>
      </c>
      <c r="J90" s="120" t="s">
        <v>103</v>
      </c>
      <c r="K90" s="162" t="str">
        <f ca="1">IF($A90=0,"-",CONCATENATE(C90&amp;".",IF(AND($A$5&gt;=2,$A90&gt;=2),D90&amp;".",""),IF(AND($A$5&gt;=3,$A90&gt;=3),E90&amp;".",""),IF(AND($A$5&gt;=4,$A90&gt;=4),F90&amp;".",""),IF($A90="S",G90&amp;".","")))</f>
        <v>1.12.4.</v>
      </c>
      <c r="L90" s="209" t="s">
        <v>286</v>
      </c>
      <c r="M90" s="209" t="s">
        <v>293</v>
      </c>
      <c r="N90" s="230" t="str">
        <f ca="1">IF($A90="S",Referencia.Descricao,"(digite a descrição aqui)")</f>
        <v xml:space="preserve">LONA PLASTICA PESADA PRETA, E = 150 MICRA                                                                                                                                                                                                                                                                                                                                                                                                                                                                 </v>
      </c>
      <c r="O90" s="229" t="str">
        <f ca="1">Referencia.Unidade</f>
        <v xml:space="preserve">M2    </v>
      </c>
      <c r="P90" s="232">
        <f ca="1">OFFSET(PLQ!$E$12,ROW($P90)-ROW(P$12),0)</f>
        <v>2034.63</v>
      </c>
      <c r="Q90" s="228">
        <v>1.99</v>
      </c>
      <c r="R90" s="231" t="s">
        <v>8</v>
      </c>
      <c r="S90" s="121">
        <f ca="1">IF($A90="S",IF($Q$10="Preço Unitário (R$)",PO.CustoUnitario,ROUND(PO.CustoUnitario*(1+$Z90),15-13*$X$6)),0)</f>
        <v>2.24</v>
      </c>
      <c r="T90" s="98">
        <f ca="1">IF($A90="S",VTOTAL1,IF($A90=0,0,ROUND(SomaAgrup,15-13*$X$7)))</f>
        <v>4557.57</v>
      </c>
      <c r="U90" s="13" t="str">
        <f ca="1">IF($J90="","",IF($N90="","DESCRIÇÃO",IF(AND($J90="Serviço",$O90=""),"UNIDADE",IF($T90&lt;=0,"SEM VALOR",IF(AND($Y90&lt;&gt;"",$Q90&gt;$Y90),"ACIMA REF.","")))))</f>
        <v/>
      </c>
      <c r="V90" s="4" t="str">
        <f ca="1">IF(OR($A90=0,$A90="S",$A90&gt;CFF!$A$9),"",MAX(V$12:OFFSET(V90,-1,0))+1)</f>
        <v/>
      </c>
      <c r="W90" s="9" t="str">
        <f>IF(AND($J90="Serviço",$M90&lt;&gt;""),IF($L90="",$M90,CONCATENATE($L90,"-",$M90)))</f>
        <v>Sinapi-i-3777</v>
      </c>
      <c r="X90" s="4">
        <f ca="1">IF(AND(Fonte&lt;&gt;"",Código&lt;&gt;""),MATCH(Fonte&amp;" "&amp;IF(Fonte="sinapi",SUBSTITUTE(SUBSTITUTE(Código,"/00","/"),"/0","/"),Código),INDIRECT("'[Referência "&amp;_XLNM.DATABASE&amp;".xls]Banco'!$a:$a"),0),"X")</f>
        <v>10138</v>
      </c>
      <c r="Y90" s="121">
        <f ca="1">IF(Import.Desoneracao="sim",Referencia.Desonerado,Referencia.NaoDesonerado)</f>
        <v>1.99</v>
      </c>
      <c r="Z90" s="132">
        <f ca="1">ROUND(IF(ISNUMBER(R90),R90,IF(LEFT(R90,3)="BDI",HLOOKUP(R90,DADOS!$T$37:$X$38,2,FALSE),0)),15-11*$X$5)</f>
        <v>0.1262</v>
      </c>
      <c r="AA90" s="4"/>
    </row>
    <row r="91" spans="1:27" ht="26.4">
      <c r="A91" t="str">
        <f t="shared" si="58"/>
        <v>S</v>
      </c>
      <c r="B91">
        <f t="shared" si="59"/>
        <v>0</v>
      </c>
      <c r="C91">
        <f ca="1" t="shared" si="60"/>
        <v>1</v>
      </c>
      <c r="D91">
        <f ca="1" t="shared" si="61"/>
        <v>12</v>
      </c>
      <c r="E91">
        <f ca="1" t="shared" si="62"/>
        <v>0</v>
      </c>
      <c r="F91">
        <f ca="1" t="shared" si="63"/>
        <v>0</v>
      </c>
      <c r="G91">
        <f ca="1" t="shared" si="64"/>
        <v>5</v>
      </c>
      <c r="H91">
        <f ca="1" t="shared" si="70"/>
        <v>0</v>
      </c>
      <c r="I91">
        <f ca="1" t="shared" si="71"/>
        <v>0</v>
      </c>
      <c r="J91" s="120" t="s">
        <v>103</v>
      </c>
      <c r="K91" s="162" t="str">
        <f ca="1" t="shared" si="65"/>
        <v>1.12.5.</v>
      </c>
      <c r="L91" s="209" t="s">
        <v>286</v>
      </c>
      <c r="M91" s="209" t="s">
        <v>292</v>
      </c>
      <c r="N91" s="230" t="str">
        <f ca="1">IF($A91="S",Referencia.Descricao,"(digite a descrição aqui)")</f>
        <v xml:space="preserve">RIPA NAO APARELHADA  *1 X 3* CM, EM MACARANDUBA, ANGELIM OU EQUIVALENTE DA REGIAO - BRUTA                                                                                                                                                                                                                                                                                                                                                                                                                 </v>
      </c>
      <c r="O91" s="229" t="str">
        <f ca="1">Referencia.Unidade</f>
        <v xml:space="preserve">M     </v>
      </c>
      <c r="P91" s="232">
        <f ca="1">OFFSET(PLQ!$E$12,ROW($P91)-ROW(P$12),0)</f>
        <v>6570.2</v>
      </c>
      <c r="Q91" s="228">
        <v>1.21</v>
      </c>
      <c r="R91" s="231" t="s">
        <v>8</v>
      </c>
      <c r="S91" s="121">
        <f ca="1" t="shared" si="55"/>
        <v>1.36</v>
      </c>
      <c r="T91" s="98">
        <f ca="1" t="shared" si="56"/>
        <v>8935.47</v>
      </c>
      <c r="U91" s="13" t="str">
        <f ca="1" t="shared" si="66"/>
        <v/>
      </c>
      <c r="V91" s="4" t="str">
        <f ca="1">IF(OR($A91=0,$A91="S",$A91&gt;CFF!$A$9),"",MAX(V$12:OFFSET(V91,-1,0))+1)</f>
        <v/>
      </c>
      <c r="W91" s="9" t="str">
        <f t="shared" si="67"/>
        <v>Sinapi-i-4412</v>
      </c>
      <c r="X91" s="4">
        <f ca="1" t="shared" si="57"/>
        <v>11323</v>
      </c>
      <c r="Y91" s="121">
        <f ca="1">IF(Import.Desoneracao="sim",Referencia.Desonerado,Referencia.NaoDesonerado)</f>
        <v>1.21</v>
      </c>
      <c r="Z91" s="132">
        <f ca="1">ROUND(IF(ISNUMBER(R91),R91,IF(LEFT(R91,3)="BDI",HLOOKUP(R91,DADOS!$T$37:$X$38,2,FALSE),0)),15-11*$X$5)</f>
        <v>0.1262</v>
      </c>
      <c r="AA91" s="4"/>
    </row>
    <row r="92" spans="1:27" ht="39.6">
      <c r="A92" t="str">
        <f t="shared" si="58"/>
        <v>S</v>
      </c>
      <c r="B92">
        <f t="shared" si="59"/>
        <v>0</v>
      </c>
      <c r="C92">
        <f ca="1" t="shared" si="60"/>
        <v>1</v>
      </c>
      <c r="D92">
        <f ca="1" t="shared" si="61"/>
        <v>12</v>
      </c>
      <c r="E92">
        <f ca="1" t="shared" si="62"/>
        <v>0</v>
      </c>
      <c r="F92">
        <f ca="1" t="shared" si="63"/>
        <v>0</v>
      </c>
      <c r="G92">
        <f ca="1" t="shared" si="64"/>
        <v>6</v>
      </c>
      <c r="H92">
        <f ca="1" t="shared" si="70"/>
        <v>0</v>
      </c>
      <c r="I92">
        <f ca="1" t="shared" si="71"/>
        <v>0</v>
      </c>
      <c r="J92" s="120" t="s">
        <v>103</v>
      </c>
      <c r="K92" s="162" t="str">
        <f ca="1" t="shared" si="65"/>
        <v>1.12.6.</v>
      </c>
      <c r="L92" s="209" t="s">
        <v>286</v>
      </c>
      <c r="M92" s="209" t="s">
        <v>291</v>
      </c>
      <c r="N92" s="230" t="str">
        <f ca="1">IF($A92="S",Referencia.Descricao,"(digite a descrição aqui)")</f>
        <v xml:space="preserve">TELHA DE BARRO / CERAMICA, NAO ESMALTADA, TIPO ROMANA, AMERICANA, PORTUGUESA, FRANCESA, COMPRIMENTO DE *41* CM,  RENDIMENTO DE *16* TELHAS/M2                                                                                                                                                                                                                                                                                                                                                             </v>
      </c>
      <c r="O92" s="229" t="str">
        <f ca="1">Referencia.Unidade</f>
        <v xml:space="preserve">UN    </v>
      </c>
      <c r="P92" s="232">
        <f ca="1">OFFSET(PLQ!$E$12,ROW($P92)-ROW(P$12),0)</f>
        <v>31525</v>
      </c>
      <c r="Q92" s="228">
        <v>2.99</v>
      </c>
      <c r="R92" s="231" t="s">
        <v>8</v>
      </c>
      <c r="S92" s="121">
        <f ca="1" t="shared" si="55"/>
        <v>3.37</v>
      </c>
      <c r="T92" s="98">
        <f ca="1" t="shared" si="56"/>
        <v>106239.25</v>
      </c>
      <c r="U92" s="13" t="str">
        <f ca="1" t="shared" si="66"/>
        <v/>
      </c>
      <c r="V92" s="4" t="str">
        <f ca="1">IF(OR($A92=0,$A92="S",$A92&gt;CFF!$A$9),"",MAX(V$12:OFFSET(V92,-1,0))+1)</f>
        <v/>
      </c>
      <c r="W92" s="9" t="str">
        <f t="shared" si="67"/>
        <v>Sinapi-i-7175</v>
      </c>
      <c r="X92" s="4">
        <f ca="1" t="shared" si="57"/>
        <v>11753</v>
      </c>
      <c r="Y92" s="121">
        <f ca="1">IF(Import.Desoneracao="sim",Referencia.Desonerado,Referencia.NaoDesonerado)</f>
        <v>2.99</v>
      </c>
      <c r="Z92" s="132">
        <f ca="1">ROUND(IF(ISNUMBER(R92),R92,IF(LEFT(R92,3)="BDI",HLOOKUP(R92,DADOS!$T$37:$X$38,2,FALSE),0)),15-11*$X$5)</f>
        <v>0.1262</v>
      </c>
      <c r="AA92" s="4"/>
    </row>
    <row r="93" spans="1:27" ht="39.6">
      <c r="A93" t="str">
        <f>CHOOSE(1+LOG(1+2*(J93="Meta")+4*(J93="Nível 2")+8*(J93="Nível 3")+16*(J93="Nível 4")+32*(J93="Serviço"),2),0,1,2,3,4,"S")</f>
        <v>S</v>
      </c>
      <c r="B93">
        <f>IF(OR(A93="S",A93=0),0,IF(ISERROR(I93),H93,SMALL(H93:I93,1)))</f>
        <v>0</v>
      </c>
      <c r="C93">
        <f ca="1">IF($A93=1,OFFSET(C93,-1,0)+1,OFFSET(C93,-1,0))</f>
        <v>1</v>
      </c>
      <c r="D93">
        <f ca="1">IF($A93=1,0,IF($A93=2,OFFSET(D93,-1,0)+1,OFFSET(D93,-1,0)))</f>
        <v>12</v>
      </c>
      <c r="E93">
        <f ca="1">IF(AND($A93&lt;=2,$A93&lt;&gt;0),0,IF($A93=3,OFFSET(E93,-1,0)+1,OFFSET(E93,-1,0)))</f>
        <v>0</v>
      </c>
      <c r="F93">
        <f ca="1">IF(AND($A93&lt;=3,$A93&lt;&gt;0),0,IF($A93=4,OFFSET(F93,-1,0)+1,OFFSET(F93,-1,0)))</f>
        <v>0</v>
      </c>
      <c r="G93">
        <f ca="1">IF(AND($A93&lt;=4,$A93&lt;&gt;0),0,IF($A93="S",OFFSET(G93,-1,0)+1,OFFSET(G93,-1,0)))</f>
        <v>7</v>
      </c>
      <c r="H93">
        <f ca="1" t="shared" si="70"/>
        <v>0</v>
      </c>
      <c r="I93">
        <f ca="1" t="shared" si="71"/>
        <v>0</v>
      </c>
      <c r="J93" s="120" t="s">
        <v>103</v>
      </c>
      <c r="K93" s="162" t="str">
        <f ca="1">IF($A93=0,"-",CONCATENATE(C93&amp;".",IF(AND($A$5&gt;=2,$A93&gt;=2),D93&amp;".",""),IF(AND($A$5&gt;=3,$A93&gt;=3),E93&amp;".",""),IF(AND($A$5&gt;=4,$A93&gt;=4),F93&amp;".",""),IF($A93="S",G93&amp;".","")))</f>
        <v>1.12.7.</v>
      </c>
      <c r="L93" s="209" t="s">
        <v>228</v>
      </c>
      <c r="M93" s="209" t="s">
        <v>362</v>
      </c>
      <c r="N93" s="230" t="str">
        <f ca="1">IF($A93="S",Referencia.Descricao,"(digite a descrição aqui)")</f>
        <v>TELHAMENTO COM TELHA ONDULADA DE FIBROCIMENTO E = 6 MM, COM RECOBRIMENTO LATERAL DE 1 1/4 DE ONDA PARA TELHADO COM INCLINAÇÃO MÁXIMA DE 10°, COM ATÉ 2 ÁGUAS, INCLUSO IÇAMENTO. AF_07/2019</v>
      </c>
      <c r="O93" s="229" t="str">
        <f ca="1">Referencia.Unidade</f>
        <v>M2</v>
      </c>
      <c r="P93" s="232">
        <f ca="1">OFFSET(PLQ!$E$12,ROW($P93)-ROW(P$12),0)</f>
        <v>156</v>
      </c>
      <c r="Q93" s="228">
        <v>51.53</v>
      </c>
      <c r="R93" s="231" t="s">
        <v>7</v>
      </c>
      <c r="S93" s="121">
        <f ca="1">IF($A93="S",IF($Q$10="Preço Unitário (R$)",PO.CustoUnitario,ROUND(PO.CustoUnitario*(1+$Z93),15-13*$X$6)),0)</f>
        <v>62.15</v>
      </c>
      <c r="T93" s="98">
        <f ca="1">IF($A93="S",VTOTAL1,IF($A93=0,0,ROUND(SomaAgrup,15-13*$X$7)))</f>
        <v>9695.4</v>
      </c>
      <c r="U93" s="13" t="str">
        <f ca="1">IF($J93="","",IF($N93="","DESCRIÇÃO",IF(AND($J93="Serviço",$O93=""),"UNIDADE",IF($T93&lt;=0,"SEM VALOR",IF(AND($Y93&lt;&gt;"",$Q93&gt;$Y93),"ACIMA REF.","")))))</f>
        <v/>
      </c>
      <c r="V93" s="4" t="str">
        <f ca="1">IF(OR($A93=0,$A93="S",$A93&gt;CFF!$A$9),"",MAX(V$12:OFFSET(V93,-1,0))+1)</f>
        <v/>
      </c>
      <c r="W93" s="9" t="str">
        <f>IF(AND($J93="Serviço",$M93&lt;&gt;""),IF($L93="",$M93,CONCATENATE($L93,"-",$M93)))</f>
        <v>Sinapi-94210</v>
      </c>
      <c r="X93" s="4">
        <f ca="1">IF(AND(Fonte&lt;&gt;"",Código&lt;&gt;""),MATCH(Fonte&amp;" "&amp;IF(Fonte="sinapi",SUBSTITUTE(SUBSTITUTE(Código,"/00","/"),"/0","/"),Código),INDIRECT("'[Referência "&amp;_XLNM.DATABASE&amp;".xls]Banco'!$a:$a"),0),"X")</f>
        <v>1375</v>
      </c>
      <c r="Y93" s="121">
        <f ca="1">IF(Import.Desoneracao="sim",Referencia.Desonerado,Referencia.NaoDesonerado)</f>
        <v>51.53</v>
      </c>
      <c r="Z93" s="132">
        <f ca="1">ROUND(IF(ISNUMBER(R93),R93,IF(LEFT(R93,3)="BDI",HLOOKUP(R93,DADOS!$T$37:$X$38,2,FALSE),0)),15-11*$X$5)</f>
        <v>0.206</v>
      </c>
      <c r="AA93" s="4"/>
    </row>
    <row r="94" spans="1:27" ht="39.6">
      <c r="A94" t="str">
        <f>CHOOSE(1+LOG(1+2*(J94="Meta")+4*(J94="Nível 2")+8*(J94="Nível 3")+16*(J94="Nível 4")+32*(J94="Serviço"),2),0,1,2,3,4,"S")</f>
        <v>S</v>
      </c>
      <c r="B94">
        <f>IF(OR(A94="S",A94=0),0,IF(ISERROR(I94),H94,SMALL(H94:I94,1)))</f>
        <v>0</v>
      </c>
      <c r="C94">
        <f ca="1">IF($A94=1,OFFSET(C94,-1,0)+1,OFFSET(C94,-1,0))</f>
        <v>1</v>
      </c>
      <c r="D94">
        <f ca="1">IF($A94=1,0,IF($A94=2,OFFSET(D94,-1,0)+1,OFFSET(D94,-1,0)))</f>
        <v>12</v>
      </c>
      <c r="E94">
        <f ca="1">IF(AND($A94&lt;=2,$A94&lt;&gt;0),0,IF($A94=3,OFFSET(E94,-1,0)+1,OFFSET(E94,-1,0)))</f>
        <v>0</v>
      </c>
      <c r="F94">
        <f ca="1">IF(AND($A94&lt;=3,$A94&lt;&gt;0),0,IF($A94=4,OFFSET(F94,-1,0)+1,OFFSET(F94,-1,0)))</f>
        <v>0</v>
      </c>
      <c r="G94">
        <f ca="1">IF(AND($A94&lt;=4,$A94&lt;&gt;0),0,IF($A94="S",OFFSET(G94,-1,0)+1,OFFSET(G94,-1,0)))</f>
        <v>8</v>
      </c>
      <c r="H94">
        <f ca="1" t="shared" si="70"/>
        <v>0</v>
      </c>
      <c r="I94">
        <f ca="1" t="shared" si="71"/>
        <v>0</v>
      </c>
      <c r="J94" s="120" t="s">
        <v>103</v>
      </c>
      <c r="K94" s="162" t="str">
        <f ca="1">IF($A94=0,"-",CONCATENATE(C94&amp;".",IF(AND($A$5&gt;=2,$A94&gt;=2),D94&amp;".",""),IF(AND($A$5&gt;=3,$A94&gt;=3),E94&amp;".",""),IF(AND($A$5&gt;=4,$A94&gt;=4),F94&amp;".",""),IF($A94="S",G94&amp;".","")))</f>
        <v>1.12.8.</v>
      </c>
      <c r="L94" s="209" t="s">
        <v>228</v>
      </c>
      <c r="M94" s="209" t="s">
        <v>363</v>
      </c>
      <c r="N94" s="230" t="str">
        <f ca="1">IF($A94="S",Referencia.Descricao,"(digite a descrição aqui)")</f>
        <v>TRAMA DE MADEIRA COMPOSTA POR TERÇAS PARA TELHADOS DE ATÉ 2 ÁGUAS PARA TELHA ONDULADA DE FIBROCIMENTO, METÁLICA, PLÁSTICA OU TERMOACÚSTICA, INCLUSO TRANSPORTE VERTICAL. AF_07/2019</v>
      </c>
      <c r="O94" s="229" t="str">
        <f ca="1">Referencia.Unidade</f>
        <v>M2</v>
      </c>
      <c r="P94" s="232">
        <f ca="1">OFFSET(PLQ!$E$12,ROW($P94)-ROW(P$12),0)</f>
        <v>156</v>
      </c>
      <c r="Q94" s="228">
        <v>15.9</v>
      </c>
      <c r="R94" s="231" t="s">
        <v>7</v>
      </c>
      <c r="S94" s="121">
        <f ca="1">IF($A94="S",IF($Q$10="Preço Unitário (R$)",PO.CustoUnitario,ROUND(PO.CustoUnitario*(1+$Z94),15-13*$X$6)),0)</f>
        <v>19.18</v>
      </c>
      <c r="T94" s="98">
        <f ca="1">IF($A94="S",VTOTAL1,IF($A94=0,0,ROUND(SomaAgrup,15-13*$X$7)))</f>
        <v>2992.08</v>
      </c>
      <c r="U94" s="13" t="str">
        <f ca="1">IF($J94="","",IF($N94="","DESCRIÇÃO",IF(AND($J94="Serviço",$O94=""),"UNIDADE",IF($T94&lt;=0,"SEM VALOR",IF(AND($Y94&lt;&gt;"",$Q94&gt;$Y94),"ACIMA REF.","")))))</f>
        <v/>
      </c>
      <c r="V94" s="4" t="str">
        <f ca="1">IF(OR($A94=0,$A94="S",$A94&gt;CFF!$A$9),"",MAX(V$12:OFFSET(V94,-1,0))+1)</f>
        <v/>
      </c>
      <c r="W94" s="9" t="str">
        <f>IF(AND($J94="Serviço",$M94&lt;&gt;""),IF($L94="",$M94,CONCATENATE($L94,"-",$M94)))</f>
        <v>Sinapi-92543</v>
      </c>
      <c r="X94" s="4">
        <f ca="1">IF(AND(Fonte&lt;&gt;"",Código&lt;&gt;""),MATCH(Fonte&amp;" "&amp;IF(Fonte="sinapi",SUBSTITUTE(SUBSTITUTE(Código,"/00","/"),"/0","/"),Código),INDIRECT("'[Referência "&amp;_XLNM.DATABASE&amp;".xls]Banco'!$a:$a"),0),"X")</f>
        <v>1319</v>
      </c>
      <c r="Y94" s="121">
        <f ca="1">IF(Import.Desoneracao="sim",Referencia.Desonerado,Referencia.NaoDesonerado)</f>
        <v>15.9</v>
      </c>
      <c r="Z94" s="132">
        <f ca="1">ROUND(IF(ISNUMBER(R94),R94,IF(LEFT(R94,3)="BDI",HLOOKUP(R94,DADOS!$T$37:$X$38,2,FALSE),0)),15-11*$X$5)</f>
        <v>0.206</v>
      </c>
      <c r="AA94" s="4"/>
    </row>
    <row r="95" spans="1:27" ht="12.75">
      <c r="A95" t="str">
        <f t="shared" si="58"/>
        <v>S</v>
      </c>
      <c r="B95">
        <f t="shared" si="59"/>
        <v>0</v>
      </c>
      <c r="C95">
        <f ca="1" t="shared" si="60"/>
        <v>1</v>
      </c>
      <c r="D95">
        <f ca="1" t="shared" si="61"/>
        <v>12</v>
      </c>
      <c r="E95">
        <f ca="1" t="shared" si="62"/>
        <v>0</v>
      </c>
      <c r="F95">
        <f ca="1" t="shared" si="63"/>
        <v>0</v>
      </c>
      <c r="G95">
        <f ca="1" t="shared" si="64"/>
        <v>9</v>
      </c>
      <c r="H95">
        <f ca="1" t="shared" si="70"/>
        <v>0</v>
      </c>
      <c r="I95">
        <f ca="1" t="shared" si="71"/>
        <v>0</v>
      </c>
      <c r="J95" s="120" t="s">
        <v>103</v>
      </c>
      <c r="K95" s="162" t="str">
        <f ca="1" t="shared" si="65"/>
        <v>1.12.9.</v>
      </c>
      <c r="L95" s="209" t="s">
        <v>403</v>
      </c>
      <c r="M95" s="209" t="s">
        <v>294</v>
      </c>
      <c r="N95" s="230" t="str">
        <f ca="1">IF($A95="S",Referencia.Descricao,"(digite a descrição aqui)")</f>
        <v>Serviço de execução de estrutura de cobertura e telhamento</v>
      </c>
      <c r="O95" s="229" t="str">
        <f ca="1">Referencia.Unidade</f>
        <v>M²</v>
      </c>
      <c r="P95" s="232">
        <f ca="1">OFFSET(PLQ!$E$12,ROW($P95)-ROW(P$12),0)</f>
        <v>2034.63</v>
      </c>
      <c r="Q95" s="228">
        <v>33.09</v>
      </c>
      <c r="R95" s="231" t="s">
        <v>7</v>
      </c>
      <c r="S95" s="121">
        <f ca="1" t="shared" si="55"/>
        <v>39.91</v>
      </c>
      <c r="T95" s="98">
        <f ca="1" t="shared" si="56"/>
        <v>81202.08</v>
      </c>
      <c r="U95" s="13" t="str">
        <f ca="1" t="shared" si="66"/>
        <v/>
      </c>
      <c r="V95" s="4" t="str">
        <f ca="1">IF(OR($A95=0,$A95="S",$A95&gt;CFF!$A$9),"",MAX(V$12:OFFSET(V95,-1,0))+1)</f>
        <v/>
      </c>
      <c r="W95" s="9" t="str">
        <f t="shared" si="67"/>
        <v>Composição -04</v>
      </c>
      <c r="X95" s="4">
        <f ca="1" t="shared" si="57"/>
        <v>10</v>
      </c>
      <c r="Y95" s="121">
        <f ca="1">IF(Import.Desoneracao="sim",Referencia.Desonerado,Referencia.NaoDesonerado)</f>
        <v>33.09</v>
      </c>
      <c r="Z95" s="132">
        <f ca="1">ROUND(IF(ISNUMBER(R95),R95,IF(LEFT(R95,3)="BDI",HLOOKUP(R95,DADOS!$T$37:$X$38,2,FALSE),0)),15-11*$X$5)</f>
        <v>0.206</v>
      </c>
      <c r="AA95" s="4"/>
    </row>
    <row r="96" spans="1:27" ht="12.75">
      <c r="A96" t="str">
        <f>CHOOSE(1+LOG(1+2*(J96="Meta")+4*(J96="Nível 2")+8*(J96="Nível 3")+16*(J96="Nível 4")+32*(J96="Serviço"),2),0,1,2,3,4,"S")</f>
        <v>S</v>
      </c>
      <c r="B96">
        <f>IF(OR(A96="S",A96=0),0,IF(ISERROR(I96),H96,SMALL(H96:I96,1)))</f>
        <v>0</v>
      </c>
      <c r="C96">
        <f ca="1">IF($A96=1,OFFSET(C96,-1,0)+1,OFFSET(C96,-1,0))</f>
        <v>1</v>
      </c>
      <c r="D96">
        <f ca="1">IF($A96=1,0,IF($A96=2,OFFSET(D96,-1,0)+1,OFFSET(D96,-1,0)))</f>
        <v>12</v>
      </c>
      <c r="E96">
        <f ca="1">IF(AND($A96&lt;=2,$A96&lt;&gt;0),0,IF($A96=3,OFFSET(E96,-1,0)+1,OFFSET(E96,-1,0)))</f>
        <v>0</v>
      </c>
      <c r="F96">
        <f ca="1">IF(AND($A96&lt;=3,$A96&lt;&gt;0),0,IF($A96=4,OFFSET(F96,-1,0)+1,OFFSET(F96,-1,0)))</f>
        <v>0</v>
      </c>
      <c r="G96">
        <f ca="1">IF(AND($A96&lt;=4,$A96&lt;&gt;0),0,IF($A96="S",OFFSET(G96,-1,0)+1,OFFSET(G96,-1,0)))</f>
        <v>10</v>
      </c>
      <c r="H96">
        <f ca="1" t="shared" si="70"/>
        <v>0</v>
      </c>
      <c r="I96">
        <f ca="1" t="shared" si="71"/>
        <v>0</v>
      </c>
      <c r="J96" s="120" t="s">
        <v>103</v>
      </c>
      <c r="K96" s="162" t="str">
        <f ca="1">IF($A96=0,"-",CONCATENATE(C96&amp;".",IF(AND($A$5&gt;=2,$A96&gt;=2),D96&amp;".",""),IF(AND($A$5&gt;=3,$A96&gt;=3),E96&amp;".",""),IF(AND($A$5&gt;=4,$A96&gt;=4),F96&amp;".",""),IF($A96="S",G96&amp;".","")))</f>
        <v>1.12.10.</v>
      </c>
      <c r="L96" s="209" t="s">
        <v>286</v>
      </c>
      <c r="M96" s="209" t="s">
        <v>327</v>
      </c>
      <c r="N96" s="230" t="str">
        <f ca="1">IF($A96="S",Referencia.Descricao,"(digite a descrição aqui)")</f>
        <v xml:space="preserve">CALHA QUADRADA DE CHAPA DE ACO GALVANIZADA NUM 26, CORTE 33 CM                                                                                                                                                                                                                                                                                                                                                                                                                                            </v>
      </c>
      <c r="O96" s="229" t="str">
        <f ca="1">Referencia.Unidade</f>
        <v xml:space="preserve">M     </v>
      </c>
      <c r="P96" s="232">
        <f ca="1">OFFSET(PLQ!$E$12,ROW($P96)-ROW(P$12),0)</f>
        <v>262.6</v>
      </c>
      <c r="Q96" s="228">
        <v>31.08</v>
      </c>
      <c r="R96" s="231" t="s">
        <v>8</v>
      </c>
      <c r="S96" s="121">
        <f ca="1">IF($A96="S",IF($Q$10="Preço Unitário (R$)",PO.CustoUnitario,ROUND(PO.CustoUnitario*(1+$Z96),15-13*$X$6)),0)</f>
        <v>35</v>
      </c>
      <c r="T96" s="98">
        <f ca="1">IF($A96="S",VTOTAL1,IF($A96=0,0,ROUND(SomaAgrup,15-13*$X$7)))</f>
        <v>9191</v>
      </c>
      <c r="U96" s="13" t="str">
        <f ca="1">IF($J96="","",IF($N96="","DESCRIÇÃO",IF(AND($J96="Serviço",$O96=""),"UNIDADE",IF($T96&lt;=0,"SEM VALOR",IF(AND($Y96&lt;&gt;"",$Q96&gt;$Y96),"ACIMA REF.","")))))</f>
        <v/>
      </c>
      <c r="V96" s="4" t="str">
        <f ca="1">IF(OR($A96=0,$A96="S",$A96&gt;CFF!$A$9),"",MAX(V$12:OFFSET(V96,-1,0))+1)</f>
        <v/>
      </c>
      <c r="W96" s="9" t="str">
        <f>IF(AND($J96="Serviço",$M96&lt;&gt;""),IF($L96="",$M96,CONCATENATE($L96,"-",$M96)))</f>
        <v>Sinapi-i-1109</v>
      </c>
      <c r="X96" s="4">
        <f ca="1">IF(AND(Fonte&lt;&gt;"",Código&lt;&gt;""),MATCH(Fonte&amp;" "&amp;IF(Fonte="sinapi",SUBSTITUTE(SUBSTITUTE(Código,"/00","/"),"/0","/"),Código),INDIRECT("'[Referência "&amp;_XLNM.DATABASE&amp;".xls]Banco'!$a:$a"),0),"X")</f>
        <v>8451</v>
      </c>
      <c r="Y96" s="121">
        <f ca="1">IF(Import.Desoneracao="sim",Referencia.Desonerado,Referencia.NaoDesonerado)</f>
        <v>31.08</v>
      </c>
      <c r="Z96" s="132">
        <f ca="1">ROUND(IF(ISNUMBER(R96),R96,IF(LEFT(R96,3)="BDI",HLOOKUP(R96,DADOS!$T$37:$X$38,2,FALSE),0)),15-11*$X$5)</f>
        <v>0.1262</v>
      </c>
      <c r="AA96" s="4"/>
    </row>
    <row r="97" spans="1:27" ht="12.75">
      <c r="A97">
        <f t="shared" si="58"/>
        <v>2</v>
      </c>
      <c r="B97">
        <f ca="1" t="shared" si="59"/>
        <v>5</v>
      </c>
      <c r="C97">
        <f ca="1" t="shared" si="60"/>
        <v>1</v>
      </c>
      <c r="D97">
        <f ca="1" t="shared" si="61"/>
        <v>13</v>
      </c>
      <c r="E97">
        <f ca="1" t="shared" si="62"/>
        <v>0</v>
      </c>
      <c r="F97">
        <f ca="1" t="shared" si="63"/>
        <v>0</v>
      </c>
      <c r="G97">
        <f ca="1" t="shared" si="64"/>
        <v>0</v>
      </c>
      <c r="H97">
        <f ca="1" t="shared" si="70"/>
        <v>77</v>
      </c>
      <c r="I97">
        <f ca="1" t="shared" si="71"/>
        <v>5</v>
      </c>
      <c r="J97" s="120" t="s">
        <v>100</v>
      </c>
      <c r="K97" s="162" t="str">
        <f ca="1" t="shared" si="65"/>
        <v>1.13.</v>
      </c>
      <c r="L97" s="209"/>
      <c r="M97" s="209"/>
      <c r="N97" s="230" t="s">
        <v>306</v>
      </c>
      <c r="O97" s="229" t="str">
        <f ca="1">Referencia.Unidade</f>
        <v/>
      </c>
      <c r="P97" s="232">
        <f ca="1">OFFSET(PLQ!$E$12,ROW($P97)-ROW(P$12),0)</f>
        <v>0</v>
      </c>
      <c r="Q97" s="228"/>
      <c r="R97" s="231" t="s">
        <v>7</v>
      </c>
      <c r="S97" s="121">
        <f t="shared" si="55"/>
        <v>0</v>
      </c>
      <c r="T97" s="98">
        <f ca="1" t="shared" si="56"/>
        <v>41807.22</v>
      </c>
      <c r="U97" s="13" t="str">
        <f ca="1" t="shared" si="66"/>
        <v/>
      </c>
      <c r="V97" s="4">
        <f ca="1">IF(OR($A97=0,$A97="S",$A97&gt;CFF!$A$9),"",MAX(V$12:OFFSET(V97,-1,0))+1)</f>
        <v>14</v>
      </c>
      <c r="W97" s="9" t="b">
        <f t="shared" si="67"/>
        <v>0</v>
      </c>
      <c r="X97" s="4" t="str">
        <f ca="1" t="shared" si="57"/>
        <v>X</v>
      </c>
      <c r="Y97" s="121">
        <f ca="1">IF(Import.Desoneracao="sim",Referencia.Desonerado,Referencia.NaoDesonerado)</f>
        <v>0</v>
      </c>
      <c r="Z97" s="132">
        <f ca="1">ROUND(IF(ISNUMBER(R97),R97,IF(LEFT(R97,3)="BDI",HLOOKUP(R97,DADOS!$T$37:$X$38,2,FALSE),0)),15-11*$X$5)</f>
        <v>0.206</v>
      </c>
      <c r="AA97" s="4"/>
    </row>
    <row r="98" spans="1:27" ht="26.4">
      <c r="A98" t="str">
        <f t="shared" si="58"/>
        <v>S</v>
      </c>
      <c r="B98">
        <f t="shared" si="59"/>
        <v>0</v>
      </c>
      <c r="C98">
        <f ca="1" t="shared" si="60"/>
        <v>1</v>
      </c>
      <c r="D98">
        <f ca="1" t="shared" si="61"/>
        <v>13</v>
      </c>
      <c r="E98">
        <f ca="1" t="shared" si="62"/>
        <v>0</v>
      </c>
      <c r="F98">
        <f ca="1" t="shared" si="63"/>
        <v>0</v>
      </c>
      <c r="G98">
        <f ca="1" t="shared" si="64"/>
        <v>1</v>
      </c>
      <c r="H98">
        <f ca="1" t="shared" si="70"/>
        <v>0</v>
      </c>
      <c r="I98">
        <f ca="1" t="shared" si="71"/>
        <v>0</v>
      </c>
      <c r="J98" s="120" t="s">
        <v>103</v>
      </c>
      <c r="K98" s="162" t="str">
        <f ca="1" t="shared" si="65"/>
        <v>1.13.1.</v>
      </c>
      <c r="L98" s="209" t="s">
        <v>286</v>
      </c>
      <c r="M98" s="209" t="s">
        <v>307</v>
      </c>
      <c r="N98" s="230" t="str">
        <f ca="1">IF($A98="S",Referencia.Descricao,"(digite a descrição aqui)")</f>
        <v xml:space="preserve">PILAR QUADRADO NAO APARELHADO *20 X 20* CM, EM MACARANDUBA, ANGELIM OU EQUIVALENTE DA REGIAO - BRUTA                                                                                                                                                                                                                                                                                                                                                                                                      </v>
      </c>
      <c r="O98" s="229" t="str">
        <f ca="1">Referencia.Unidade</f>
        <v xml:space="preserve">M     </v>
      </c>
      <c r="P98" s="232">
        <f ca="1">OFFSET(PLQ!$E$12,ROW($P98)-ROW(P$12),0)</f>
        <v>84.5</v>
      </c>
      <c r="Q98" s="228">
        <v>111.74</v>
      </c>
      <c r="R98" s="231" t="s">
        <v>8</v>
      </c>
      <c r="S98" s="121">
        <f ca="1" t="shared" si="55"/>
        <v>125.84</v>
      </c>
      <c r="T98" s="98">
        <f ca="1" t="shared" si="56"/>
        <v>10633.48</v>
      </c>
      <c r="U98" s="13" t="str">
        <f ca="1" t="shared" si="66"/>
        <v/>
      </c>
      <c r="V98" s="4" t="str">
        <f ca="1">IF(OR($A98=0,$A98="S",$A98&gt;CFF!$A$9),"",MAX(V$12:OFFSET(V98,-1,0))+1)</f>
        <v/>
      </c>
      <c r="W98" s="9" t="str">
        <f t="shared" si="67"/>
        <v>Sinapi-i-35276</v>
      </c>
      <c r="X98" s="4">
        <f ca="1" t="shared" si="57"/>
        <v>10892</v>
      </c>
      <c r="Y98" s="121">
        <f ca="1">IF(Import.Desoneracao="sim",Referencia.Desonerado,Referencia.NaoDesonerado)</f>
        <v>111.74</v>
      </c>
      <c r="Z98" s="132">
        <f ca="1">ROUND(IF(ISNUMBER(R98),R98,IF(LEFT(R98,3)="BDI",HLOOKUP(R98,DADOS!$T$37:$X$38,2,FALSE),0)),15-11*$X$5)</f>
        <v>0.1262</v>
      </c>
      <c r="AA98" s="4"/>
    </row>
    <row r="99" spans="1:27" ht="12.75">
      <c r="A99" t="str">
        <f t="shared" si="58"/>
        <v>S</v>
      </c>
      <c r="B99">
        <f t="shared" si="59"/>
        <v>0</v>
      </c>
      <c r="C99">
        <f ca="1" t="shared" si="60"/>
        <v>1</v>
      </c>
      <c r="D99">
        <f ca="1" t="shared" si="61"/>
        <v>13</v>
      </c>
      <c r="E99">
        <f ca="1" t="shared" si="62"/>
        <v>0</v>
      </c>
      <c r="F99">
        <f ca="1" t="shared" si="63"/>
        <v>0</v>
      </c>
      <c r="G99">
        <f ca="1" t="shared" si="64"/>
        <v>2</v>
      </c>
      <c r="H99">
        <f ca="1" t="shared" si="70"/>
        <v>0</v>
      </c>
      <c r="I99">
        <f ca="1" t="shared" si="71"/>
        <v>0</v>
      </c>
      <c r="J99" s="120" t="s">
        <v>103</v>
      </c>
      <c r="K99" s="162" t="str">
        <f ca="1" t="shared" si="65"/>
        <v>1.13.2.</v>
      </c>
      <c r="L99" s="209" t="s">
        <v>404</v>
      </c>
      <c r="M99" s="209" t="s">
        <v>232</v>
      </c>
      <c r="N99" s="230" t="str">
        <f ca="1">IF($A99="S",Referencia.Descricao,"(digite a descrição aqui)")</f>
        <v xml:space="preserve">Viga em madeira angelim ou equivalente 10x20cm </v>
      </c>
      <c r="O99" s="229" t="str">
        <f ca="1">Referencia.Unidade</f>
        <v>m</v>
      </c>
      <c r="P99" s="232">
        <f ca="1">OFFSET(PLQ!$E$12,ROW($P99)-ROW(P$12),0)</f>
        <v>104</v>
      </c>
      <c r="Q99" s="228">
        <v>134.33</v>
      </c>
      <c r="R99" s="231" t="s">
        <v>8</v>
      </c>
      <c r="S99" s="121">
        <f ca="1" t="shared" si="55"/>
        <v>151.28</v>
      </c>
      <c r="T99" s="98">
        <f ca="1" t="shared" si="56"/>
        <v>15733.12</v>
      </c>
      <c r="U99" s="13" t="str">
        <f ca="1" t="shared" si="66"/>
        <v>ACIMA REF.</v>
      </c>
      <c r="V99" s="4" t="str">
        <f ca="1">IF(OR($A99=0,$A99="S",$A99&gt;CFF!$A$9),"",MAX(V$12:OFFSET(V99,-1,0))+1)</f>
        <v/>
      </c>
      <c r="W99" s="9" t="str">
        <f t="shared" si="67"/>
        <v>COTAÇÃO-01</v>
      </c>
      <c r="X99" s="4">
        <f ca="1" t="shared" si="57"/>
        <v>13</v>
      </c>
      <c r="Y99" s="121">
        <f ca="1">IF(Import.Desoneracao="sim",Referencia.Desonerado,Referencia.NaoDesonerado)</f>
        <v>134.325</v>
      </c>
      <c r="Z99" s="132">
        <f ca="1">ROUND(IF(ISNUMBER(R99),R99,IF(LEFT(R99,3)="BDI",HLOOKUP(R99,DADOS!$T$37:$X$38,2,FALSE),0)),15-11*$X$5)</f>
        <v>0.1262</v>
      </c>
      <c r="AA99" s="4"/>
    </row>
    <row r="100" spans="1:27" ht="39.6">
      <c r="A100" t="str">
        <f t="shared" si="58"/>
        <v>S</v>
      </c>
      <c r="B100">
        <f t="shared" si="59"/>
        <v>0</v>
      </c>
      <c r="C100">
        <f ca="1" t="shared" si="60"/>
        <v>1</v>
      </c>
      <c r="D100">
        <f ca="1" t="shared" si="61"/>
        <v>13</v>
      </c>
      <c r="E100">
        <f ca="1" t="shared" si="62"/>
        <v>0</v>
      </c>
      <c r="F100">
        <f ca="1" t="shared" si="63"/>
        <v>0</v>
      </c>
      <c r="G100">
        <f ca="1" t="shared" si="64"/>
        <v>3</v>
      </c>
      <c r="H100">
        <f ca="1" t="shared" si="70"/>
        <v>0</v>
      </c>
      <c r="I100">
        <f ca="1" t="shared" si="71"/>
        <v>0</v>
      </c>
      <c r="J100" s="120" t="s">
        <v>103</v>
      </c>
      <c r="K100" s="162" t="str">
        <f ca="1" t="shared" si="65"/>
        <v>1.13.3.</v>
      </c>
      <c r="L100" s="209" t="s">
        <v>228</v>
      </c>
      <c r="M100" s="209" t="s">
        <v>309</v>
      </c>
      <c r="N100" s="230" t="str">
        <f ca="1">IF($A100="S",Referencia.Descricao,"(digite a descrição aqui)")</f>
        <v>FABRICAÇÃO E INSTALAÇÃO DE TESOURA INTEIRA EM MADEIRA NÃO APARELHADA, VÃO DE 4 M, PARA TELHA CERÂMICA OU DE CONCRETO, INCLUSO IÇAMENTO. AF_07/2019</v>
      </c>
      <c r="O100" s="229" t="str">
        <f ca="1">Referencia.Unidade</f>
        <v>UN</v>
      </c>
      <c r="P100" s="232">
        <f ca="1">OFFSET(PLQ!$E$12,ROW($P100)-ROW(P$12),0)</f>
        <v>13</v>
      </c>
      <c r="Q100" s="228">
        <v>972.43</v>
      </c>
      <c r="R100" s="231" t="s">
        <v>7</v>
      </c>
      <c r="S100" s="121">
        <f ca="1" t="shared" si="55"/>
        <v>1172.75</v>
      </c>
      <c r="T100" s="98">
        <f ca="1" t="shared" si="56"/>
        <v>15245.75</v>
      </c>
      <c r="U100" s="13" t="str">
        <f ca="1" t="shared" si="66"/>
        <v/>
      </c>
      <c r="V100" s="4" t="str">
        <f ca="1">IF(OR($A100=0,$A100="S",$A100&gt;CFF!$A$9),"",MAX(V$12:OFFSET(V100,-1,0))+1)</f>
        <v/>
      </c>
      <c r="W100" s="9" t="str">
        <f t="shared" si="67"/>
        <v>Sinapi-92546</v>
      </c>
      <c r="X100" s="4">
        <f ca="1" t="shared" si="57"/>
        <v>1322</v>
      </c>
      <c r="Y100" s="121">
        <f ca="1">IF(Import.Desoneracao="sim",Referencia.Desonerado,Referencia.NaoDesonerado)</f>
        <v>972.43</v>
      </c>
      <c r="Z100" s="132">
        <f ca="1">ROUND(IF(ISNUMBER(R100),R100,IF(LEFT(R100,3)="BDI",HLOOKUP(R100,DADOS!$T$37:$X$38,2,FALSE),0)),15-11*$X$5)</f>
        <v>0.206</v>
      </c>
      <c r="AA100" s="4"/>
    </row>
    <row r="101" spans="1:27" ht="12.75">
      <c r="A101" t="str">
        <f>CHOOSE(1+LOG(1+2*(J101="Meta")+4*(J101="Nível 2")+8*(J101="Nível 3")+16*(J101="Nível 4")+32*(J101="Serviço"),2),0,1,2,3,4,"S")</f>
        <v>S</v>
      </c>
      <c r="B101">
        <f>IF(OR(A101="S",A101=0),0,IF(ISERROR(I101),H101,SMALL(H101:I101,1)))</f>
        <v>0</v>
      </c>
      <c r="C101">
        <f ca="1">IF($A101=1,OFFSET(C101,-1,0)+1,OFFSET(C101,-1,0))</f>
        <v>1</v>
      </c>
      <c r="D101">
        <f ca="1">IF($A101=1,0,IF($A101=2,OFFSET(D101,-1,0)+1,OFFSET(D101,-1,0)))</f>
        <v>13</v>
      </c>
      <c r="E101">
        <f ca="1">IF(AND($A101&lt;=2,$A101&lt;&gt;0),0,IF($A101=3,OFFSET(E101,-1,0)+1,OFFSET(E101,-1,0)))</f>
        <v>0</v>
      </c>
      <c r="F101">
        <f ca="1">IF(AND($A101&lt;=3,$A101&lt;&gt;0),0,IF($A101=4,OFFSET(F101,-1,0)+1,OFFSET(F101,-1,0)))</f>
        <v>0</v>
      </c>
      <c r="G101">
        <f ca="1">IF(AND($A101&lt;=4,$A101&lt;&gt;0),0,IF($A101="S",OFFSET(G101,-1,0)+1,OFFSET(G101,-1,0)))</f>
        <v>4</v>
      </c>
      <c r="H101">
        <f ca="1" t="shared" si="70"/>
        <v>0</v>
      </c>
      <c r="I101">
        <f ca="1" t="shared" si="71"/>
        <v>0</v>
      </c>
      <c r="J101" s="120" t="s">
        <v>103</v>
      </c>
      <c r="K101" s="162" t="str">
        <f ca="1">IF($A101=0,"-",CONCATENATE(C101&amp;".",IF(AND($A$5&gt;=2,$A101&gt;=2),D101&amp;".",""),IF(AND($A$5&gt;=3,$A101&gt;=3),E101&amp;".",""),IF(AND($A$5&gt;=4,$A101&gt;=4),F101&amp;".",""),IF($A101="S",G101&amp;".","")))</f>
        <v>1.13.4.</v>
      </c>
      <c r="L101" s="209" t="s">
        <v>286</v>
      </c>
      <c r="M101" s="209" t="s">
        <v>367</v>
      </c>
      <c r="N101" s="230" t="str">
        <f ca="1">IF($A101="S",Referencia.Descricao,"(digite a descrição aqui)")</f>
        <v xml:space="preserve">CHAPA DE ACO GALVANIZADA BITOLA GSG 16, E = 1,55 MM (12,40 KG/M2)                                                                                                                                                                                                                                                                                                                                                                                                                                         </v>
      </c>
      <c r="O101" s="229" t="str">
        <f ca="1">Referencia.Unidade</f>
        <v xml:space="preserve">KG    </v>
      </c>
      <c r="P101" s="232">
        <f ca="1">OFFSET(PLQ!$E$12,ROW($P101)-ROW(P$12),0)</f>
        <v>13</v>
      </c>
      <c r="Q101" s="228">
        <v>13.31</v>
      </c>
      <c r="R101" s="231" t="s">
        <v>8</v>
      </c>
      <c r="S101" s="121">
        <f ca="1">IF($A101="S",IF($Q$10="Preço Unitário (R$)",PO.CustoUnitario,ROUND(PO.CustoUnitario*(1+$Z101),15-13*$X$6)),0)</f>
        <v>14.99</v>
      </c>
      <c r="T101" s="98">
        <f ca="1">IF($A101="S",VTOTAL1,IF($A101=0,0,ROUND(SomaAgrup,15-13*$X$7)))</f>
        <v>194.87</v>
      </c>
      <c r="U101" s="13" t="str">
        <f ca="1">IF($J101="","",IF($N101="","DESCRIÇÃO",IF(AND($J101="Serviço",$O101=""),"UNIDADE",IF($T101&lt;=0,"SEM VALOR",IF(AND($Y101&lt;&gt;"",$Q101&gt;$Y101),"ACIMA REF.","")))))</f>
        <v/>
      </c>
      <c r="V101" s="4" t="str">
        <f ca="1">IF(OR($A101=0,$A101="S",$A101&gt;CFF!$A$9),"",MAX(V$12:OFFSET(V101,-1,0))+1)</f>
        <v/>
      </c>
      <c r="W101" s="9" t="str">
        <f>IF(AND($J101="Serviço",$M101&lt;&gt;""),IF($L101="",$M101,CONCATENATE($L101,"-",$M101)))</f>
        <v>Sinapi-i-11027</v>
      </c>
      <c r="X101" s="4">
        <f ca="1">IF(AND(Fonte&lt;&gt;"",Código&lt;&gt;""),MATCH(Fonte&amp;" "&amp;IF(Fonte="sinapi",SUBSTITUTE(SUBSTITUTE(Código,"/00","/"),"/0","/"),Código),INDIRECT("'[Referência "&amp;_XLNM.DATABASE&amp;".xls]Banco'!$a:$a"),0),"X")</f>
        <v>8596</v>
      </c>
      <c r="Y101" s="121">
        <f ca="1">IF(Import.Desoneracao="sim",Referencia.Desonerado,Referencia.NaoDesonerado)</f>
        <v>13.31</v>
      </c>
      <c r="Z101" s="132">
        <f ca="1">ROUND(IF(ISNUMBER(R101),R101,IF(LEFT(R101,3)="BDI",HLOOKUP(R101,DADOS!$T$37:$X$38,2,FALSE),0)),15-11*$X$5)</f>
        <v>0.1262</v>
      </c>
      <c r="AA101" s="4"/>
    </row>
    <row r="102" spans="1:27" ht="12.75">
      <c r="A102">
        <f t="shared" si="58"/>
        <v>2</v>
      </c>
      <c r="B102">
        <f ca="1" t="shared" si="59"/>
        <v>4</v>
      </c>
      <c r="C102">
        <f ca="1" t="shared" si="60"/>
        <v>1</v>
      </c>
      <c r="D102">
        <f ca="1" t="shared" si="61"/>
        <v>14</v>
      </c>
      <c r="E102">
        <f ca="1" t="shared" si="62"/>
        <v>0</v>
      </c>
      <c r="F102">
        <f ca="1" t="shared" si="63"/>
        <v>0</v>
      </c>
      <c r="G102">
        <f ca="1" t="shared" si="64"/>
        <v>0</v>
      </c>
      <c r="H102">
        <f ca="1" t="shared" si="70"/>
        <v>72</v>
      </c>
      <c r="I102">
        <f ca="1" t="shared" si="71"/>
        <v>4</v>
      </c>
      <c r="J102" s="120" t="s">
        <v>100</v>
      </c>
      <c r="K102" s="162" t="str">
        <f ca="1" t="shared" si="65"/>
        <v>1.14.</v>
      </c>
      <c r="L102" s="209"/>
      <c r="M102" s="209"/>
      <c r="N102" s="230" t="s">
        <v>295</v>
      </c>
      <c r="O102" s="229" t="str">
        <f ca="1">Referencia.Unidade</f>
        <v/>
      </c>
      <c r="P102" s="232">
        <f ca="1">OFFSET(PLQ!$E$12,ROW($P102)-ROW(P$12),0)</f>
        <v>0</v>
      </c>
      <c r="Q102" s="228"/>
      <c r="R102" s="231" t="s">
        <v>7</v>
      </c>
      <c r="S102" s="121">
        <f t="shared" si="55"/>
        <v>0</v>
      </c>
      <c r="T102" s="98">
        <f ca="1" t="shared" si="56"/>
        <v>64418.84</v>
      </c>
      <c r="U102" s="13" t="str">
        <f ca="1" t="shared" si="66"/>
        <v/>
      </c>
      <c r="V102" s="4">
        <f ca="1">IF(OR($A102=0,$A102="S",$A102&gt;CFF!$A$9),"",MAX(V$12:OFFSET(V102,-1,0))+1)</f>
        <v>15</v>
      </c>
      <c r="W102" s="9" t="b">
        <f t="shared" si="67"/>
        <v>0</v>
      </c>
      <c r="X102" s="4" t="str">
        <f ca="1" t="shared" si="57"/>
        <v>X</v>
      </c>
      <c r="Y102" s="121">
        <f ca="1">IF(Import.Desoneracao="sim",Referencia.Desonerado,Referencia.NaoDesonerado)</f>
        <v>0</v>
      </c>
      <c r="Z102" s="132">
        <f ca="1">ROUND(IF(ISNUMBER(R102),R102,IF(LEFT(R102,3)="BDI",HLOOKUP(R102,DADOS!$T$37:$X$38,2,FALSE),0)),15-11*$X$5)</f>
        <v>0.206</v>
      </c>
      <c r="AA102" s="4"/>
    </row>
    <row r="103" spans="1:27" ht="39.6">
      <c r="A103" t="str">
        <f t="shared" si="58"/>
        <v>S</v>
      </c>
      <c r="B103">
        <f t="shared" si="59"/>
        <v>0</v>
      </c>
      <c r="C103">
        <f ca="1" t="shared" si="60"/>
        <v>1</v>
      </c>
      <c r="D103">
        <f ca="1" t="shared" si="61"/>
        <v>14</v>
      </c>
      <c r="E103">
        <f ca="1" t="shared" si="62"/>
        <v>0</v>
      </c>
      <c r="F103">
        <f ca="1" t="shared" si="63"/>
        <v>0</v>
      </c>
      <c r="G103">
        <f ca="1" t="shared" si="64"/>
        <v>1</v>
      </c>
      <c r="H103">
        <f ca="1" t="shared" si="70"/>
        <v>0</v>
      </c>
      <c r="I103">
        <f ca="1" t="shared" si="71"/>
        <v>0</v>
      </c>
      <c r="J103" s="120" t="s">
        <v>103</v>
      </c>
      <c r="K103" s="162" t="str">
        <f ca="1" t="shared" si="65"/>
        <v>1.14.1.</v>
      </c>
      <c r="L103" s="209" t="s">
        <v>228</v>
      </c>
      <c r="M103" s="209" t="s">
        <v>296</v>
      </c>
      <c r="N103" s="230" t="str">
        <f ca="1">IF($A103="S",Referencia.Descricao,"(digite a descrição aqui)")</f>
        <v>REVESTIMENTO CERÂMICO PARA PAREDES INTERNAS COM PLACAS TIPO ESMALTADA EXTRA  DE DIMENSÕES 33X45 CM APLICADAS NA ALTURA INTEIRA DAS PAREDES. AF_02/2023_PE</v>
      </c>
      <c r="O103" s="229" t="str">
        <f ca="1">Referencia.Unidade</f>
        <v>M2</v>
      </c>
      <c r="P103" s="232">
        <f ca="1">OFFSET(PLQ!$E$12,ROW($P103)-ROW(P$12),0)</f>
        <v>613.08</v>
      </c>
      <c r="Q103" s="228">
        <v>62.55</v>
      </c>
      <c r="R103" s="231" t="s">
        <v>7</v>
      </c>
      <c r="S103" s="121">
        <f ca="1" t="shared" si="55"/>
        <v>75.44</v>
      </c>
      <c r="T103" s="98">
        <f ca="1" t="shared" si="56"/>
        <v>46250.76</v>
      </c>
      <c r="U103" s="13" t="str">
        <f ca="1" t="shared" si="66"/>
        <v/>
      </c>
      <c r="V103" s="4" t="str">
        <f ca="1">IF(OR($A103=0,$A103="S",$A103&gt;CFF!$A$9),"",MAX(V$12:OFFSET(V103,-1,0))+1)</f>
        <v/>
      </c>
      <c r="W103" s="9" t="str">
        <f t="shared" si="67"/>
        <v>Sinapi-87273</v>
      </c>
      <c r="X103" s="4">
        <f ca="1" t="shared" si="57"/>
        <v>6473</v>
      </c>
      <c r="Y103" s="121">
        <f ca="1">IF(Import.Desoneracao="sim",Referencia.Desonerado,Referencia.NaoDesonerado)</f>
        <v>62.55</v>
      </c>
      <c r="Z103" s="132">
        <f ca="1">ROUND(IF(ISNUMBER(R103),R103,IF(LEFT(R103,3)="BDI",HLOOKUP(R103,DADOS!$T$37:$X$38,2,FALSE),0)),15-11*$X$5)</f>
        <v>0.206</v>
      </c>
      <c r="AA103" s="4"/>
    </row>
    <row r="104" spans="1:27" ht="39.6">
      <c r="A104" t="str">
        <f t="shared" si="58"/>
        <v>S</v>
      </c>
      <c r="B104">
        <f t="shared" si="59"/>
        <v>0</v>
      </c>
      <c r="C104">
        <f ca="1" t="shared" si="60"/>
        <v>1</v>
      </c>
      <c r="D104">
        <f ca="1" t="shared" si="61"/>
        <v>14</v>
      </c>
      <c r="E104">
        <f ca="1" t="shared" si="62"/>
        <v>0</v>
      </c>
      <c r="F104">
        <f ca="1" t="shared" si="63"/>
        <v>0</v>
      </c>
      <c r="G104">
        <f ca="1" t="shared" si="64"/>
        <v>2</v>
      </c>
      <c r="H104">
        <f ca="1" t="shared" si="70"/>
        <v>0</v>
      </c>
      <c r="I104">
        <f ca="1" t="shared" si="71"/>
        <v>0</v>
      </c>
      <c r="J104" s="120" t="s">
        <v>103</v>
      </c>
      <c r="K104" s="162" t="str">
        <f ca="1" t="shared" si="65"/>
        <v>1.14.2.</v>
      </c>
      <c r="L104" s="209" t="s">
        <v>228</v>
      </c>
      <c r="M104" s="209" t="s">
        <v>297</v>
      </c>
      <c r="N104" s="230" t="str">
        <f ca="1">IF($A104="S",Referencia.Descricao,"(digite a descrição aqui)")</f>
        <v>REVESTIMENTO CERÂMICO PARA PAREDES INTERNAS COM PLACAS TIPO ESMALTADA EXTRA DE DIMENSÕES 33X45 CM APLICADAS A MEIA ALTURA DAS PAREDES. AF_02/2023_PE</v>
      </c>
      <c r="O104" s="229" t="str">
        <f ca="1">Referencia.Unidade</f>
        <v>M2</v>
      </c>
      <c r="P104" s="232">
        <f ca="1">OFFSET(PLQ!$E$12,ROW($P104)-ROW(P$12),0)</f>
        <v>70.72</v>
      </c>
      <c r="Q104" s="228">
        <v>68.99</v>
      </c>
      <c r="R104" s="231" t="s">
        <v>7</v>
      </c>
      <c r="S104" s="121">
        <f ca="1" t="shared" si="55"/>
        <v>83.2</v>
      </c>
      <c r="T104" s="98">
        <f ca="1" t="shared" si="56"/>
        <v>5883.9</v>
      </c>
      <c r="U104" s="13" t="str">
        <f ca="1" t="shared" si="66"/>
        <v/>
      </c>
      <c r="V104" s="4" t="str">
        <f ca="1">IF(OR($A104=0,$A104="S",$A104&gt;CFF!$A$9),"",MAX(V$12:OFFSET(V104,-1,0))+1)</f>
        <v/>
      </c>
      <c r="W104" s="9" t="str">
        <f t="shared" si="67"/>
        <v>Sinapi-87275</v>
      </c>
      <c r="X104" s="4">
        <f ca="1" t="shared" si="57"/>
        <v>6474</v>
      </c>
      <c r="Y104" s="121">
        <f ca="1">IF(Import.Desoneracao="sim",Referencia.Desonerado,Referencia.NaoDesonerado)</f>
        <v>68.99</v>
      </c>
      <c r="Z104" s="132">
        <f ca="1">ROUND(IF(ISNUMBER(R104),R104,IF(LEFT(R104,3)="BDI",HLOOKUP(R104,DADOS!$T$37:$X$38,2,FALSE),0)),15-11*$X$5)</f>
        <v>0.206</v>
      </c>
      <c r="AA104" s="4"/>
    </row>
    <row r="105" spans="1:27" ht="26.4">
      <c r="A105" t="str">
        <f t="shared" si="58"/>
        <v>S</v>
      </c>
      <c r="B105">
        <f t="shared" si="59"/>
        <v>0</v>
      </c>
      <c r="C105">
        <f ca="1" t="shared" si="60"/>
        <v>1</v>
      </c>
      <c r="D105">
        <f ca="1" t="shared" si="61"/>
        <v>14</v>
      </c>
      <c r="E105">
        <f ca="1" t="shared" si="62"/>
        <v>0</v>
      </c>
      <c r="F105">
        <f ca="1" t="shared" si="63"/>
        <v>0</v>
      </c>
      <c r="G105">
        <f ca="1" t="shared" si="64"/>
        <v>3</v>
      </c>
      <c r="H105">
        <f ca="1" t="shared" si="70"/>
        <v>0</v>
      </c>
      <c r="I105">
        <f ca="1" t="shared" si="71"/>
        <v>0</v>
      </c>
      <c r="J105" s="120" t="s">
        <v>103</v>
      </c>
      <c r="K105" s="162" t="str">
        <f ca="1" t="shared" si="65"/>
        <v>1.14.3.</v>
      </c>
      <c r="L105" s="209" t="s">
        <v>286</v>
      </c>
      <c r="M105" s="209" t="s">
        <v>299</v>
      </c>
      <c r="N105" s="230" t="str">
        <f ca="1">IF($A105="S",Referencia.Descricao,"(digite a descrição aqui)")</f>
        <v xml:space="preserve">SOLEIRA/ PEITORIL EM MARMORE, POLIDO, BRANCO COMUM, L= *15* CM, E=  *2* CM,  CORTE RETO                                                                                                                                                                                                                                                                                                                                                                                                                   </v>
      </c>
      <c r="O105" s="229" t="str">
        <f ca="1">Referencia.Unidade</f>
        <v xml:space="preserve">M     </v>
      </c>
      <c r="P105" s="232">
        <f ca="1">OFFSET(PLQ!$E$12,ROW($P105)-ROW(P$12),0)</f>
        <v>206.7</v>
      </c>
      <c r="Q105" s="228">
        <v>52.77</v>
      </c>
      <c r="R105" s="231" t="s">
        <v>8</v>
      </c>
      <c r="S105" s="121">
        <f ca="1" t="shared" si="55"/>
        <v>59.43</v>
      </c>
      <c r="T105" s="98">
        <f ca="1" t="shared" si="56"/>
        <v>12284.18</v>
      </c>
      <c r="U105" s="13" t="str">
        <f ca="1" t="shared" si="66"/>
        <v/>
      </c>
      <c r="V105" s="4" t="str">
        <f ca="1">IF(OR($A105=0,$A105="S",$A105&gt;CFF!$A$9),"",MAX(V$12:OFFSET(V105,-1,0))+1)</f>
        <v/>
      </c>
      <c r="W105" s="9" t="str">
        <f t="shared" si="67"/>
        <v>Sinapi-i-4828</v>
      </c>
      <c r="X105" s="4">
        <f ca="1" t="shared" si="57"/>
        <v>11429</v>
      </c>
      <c r="Y105" s="121">
        <f ca="1">IF(Import.Desoneracao="sim",Referencia.Desonerado,Referencia.NaoDesonerado)</f>
        <v>52.77</v>
      </c>
      <c r="Z105" s="132">
        <f ca="1">ROUND(IF(ISNUMBER(R105),R105,IF(LEFT(R105,3)="BDI",HLOOKUP(R105,DADOS!$T$37:$X$38,2,FALSE),0)),15-11*$X$5)</f>
        <v>0.1262</v>
      </c>
      <c r="AA105" s="4"/>
    </row>
    <row r="106" spans="1:27" ht="12.75">
      <c r="A106">
        <f t="shared" si="58"/>
        <v>2</v>
      </c>
      <c r="B106">
        <f ca="1" t="shared" si="59"/>
        <v>7</v>
      </c>
      <c r="C106">
        <f ca="1" t="shared" si="60"/>
        <v>1</v>
      </c>
      <c r="D106">
        <f ca="1" t="shared" si="61"/>
        <v>15</v>
      </c>
      <c r="E106">
        <f ca="1" t="shared" si="62"/>
        <v>0</v>
      </c>
      <c r="F106">
        <f ca="1" t="shared" si="63"/>
        <v>0</v>
      </c>
      <c r="G106">
        <f ca="1" t="shared" si="64"/>
        <v>0</v>
      </c>
      <c r="H106">
        <f ca="1" t="shared" si="70"/>
        <v>68</v>
      </c>
      <c r="I106">
        <f ca="1" t="shared" si="71"/>
        <v>7</v>
      </c>
      <c r="J106" s="120" t="s">
        <v>100</v>
      </c>
      <c r="K106" s="162" t="str">
        <f ca="1" t="shared" si="65"/>
        <v>1.15.</v>
      </c>
      <c r="L106" s="209"/>
      <c r="M106" s="209"/>
      <c r="N106" s="230" t="s">
        <v>311</v>
      </c>
      <c r="O106" s="229" t="str">
        <f ca="1">Referencia.Unidade</f>
        <v/>
      </c>
      <c r="P106" s="232">
        <f ca="1">OFFSET(PLQ!$E$12,ROW($P106)-ROW(P$12),0)</f>
        <v>0</v>
      </c>
      <c r="Q106" s="228"/>
      <c r="R106" s="231" t="s">
        <v>7</v>
      </c>
      <c r="S106" s="121">
        <f t="shared" si="55"/>
        <v>0</v>
      </c>
      <c r="T106" s="98">
        <f ca="1" t="shared" si="56"/>
        <v>179520.38</v>
      </c>
      <c r="U106" s="13" t="str">
        <f ca="1" t="shared" si="66"/>
        <v/>
      </c>
      <c r="V106" s="4">
        <f ca="1">IF(OR($A106=0,$A106="S",$A106&gt;CFF!$A$9),"",MAX(V$12:OFFSET(V106,-1,0))+1)</f>
        <v>16</v>
      </c>
      <c r="W106" s="9" t="b">
        <f t="shared" si="67"/>
        <v>0</v>
      </c>
      <c r="X106" s="4" t="str">
        <f ca="1" t="shared" si="57"/>
        <v>X</v>
      </c>
      <c r="Y106" s="121">
        <f ca="1">IF(Import.Desoneracao="sim",Referencia.Desonerado,Referencia.NaoDesonerado)</f>
        <v>0</v>
      </c>
      <c r="Z106" s="132">
        <f ca="1">ROUND(IF(ISNUMBER(R106),R106,IF(LEFT(R106,3)="BDI",HLOOKUP(R106,DADOS!$T$37:$X$38,2,FALSE),0)),15-11*$X$5)</f>
        <v>0.206</v>
      </c>
      <c r="AA106" s="4"/>
    </row>
    <row r="107" spans="1:27" ht="26.4">
      <c r="A107" t="str">
        <f t="shared" si="58"/>
        <v>S</v>
      </c>
      <c r="B107">
        <f t="shared" si="59"/>
        <v>0</v>
      </c>
      <c r="C107">
        <f ca="1" t="shared" si="60"/>
        <v>1</v>
      </c>
      <c r="D107">
        <f ca="1" t="shared" si="61"/>
        <v>15</v>
      </c>
      <c r="E107">
        <f ca="1" t="shared" si="62"/>
        <v>0</v>
      </c>
      <c r="F107">
        <f ca="1" t="shared" si="63"/>
        <v>0</v>
      </c>
      <c r="G107">
        <f ca="1" t="shared" si="64"/>
        <v>1</v>
      </c>
      <c r="H107">
        <f ca="1" t="shared" si="70"/>
        <v>0</v>
      </c>
      <c r="I107">
        <f ca="1" t="shared" si="71"/>
        <v>0</v>
      </c>
      <c r="J107" s="120" t="s">
        <v>103</v>
      </c>
      <c r="K107" s="162" t="str">
        <f ca="1" t="shared" si="65"/>
        <v>1.15.1.</v>
      </c>
      <c r="L107" s="209" t="s">
        <v>228</v>
      </c>
      <c r="M107" s="209" t="s">
        <v>300</v>
      </c>
      <c r="N107" s="230" t="str">
        <f ca="1">IF($A107="S",Referencia.Descricao,"(digite a descrição aqui)")</f>
        <v>FUNDO SELADOR ACRÍLICO, APLICAÇÃO MANUAL EM PAREDE, UMA DEMÃO. AF_04/2023</v>
      </c>
      <c r="O107" s="229" t="str">
        <f ca="1">Referencia.Unidade</f>
        <v>M2</v>
      </c>
      <c r="P107" s="232">
        <f ca="1">OFFSET(PLQ!$E$12,ROW($P107)-ROW(P$12),0)</f>
        <v>3825.64</v>
      </c>
      <c r="Q107" s="228">
        <v>3.64</v>
      </c>
      <c r="R107" s="231" t="s">
        <v>7</v>
      </c>
      <c r="S107" s="121">
        <f ca="1" t="shared" si="55"/>
        <v>4.39</v>
      </c>
      <c r="T107" s="98">
        <f ca="1" t="shared" si="56"/>
        <v>16794.56</v>
      </c>
      <c r="U107" s="13" t="str">
        <f ca="1" t="shared" si="66"/>
        <v/>
      </c>
      <c r="V107" s="4" t="str">
        <f ca="1">IF(OR($A107=0,$A107="S",$A107&gt;CFF!$A$9),"",MAX(V$12:OFFSET(V107,-1,0))+1)</f>
        <v/>
      </c>
      <c r="W107" s="9" t="str">
        <f t="shared" si="67"/>
        <v>Sinapi-88485</v>
      </c>
      <c r="X107" s="4">
        <f ca="1" t="shared" si="57"/>
        <v>5981</v>
      </c>
      <c r="Y107" s="121">
        <f ca="1">IF(Import.Desoneracao="sim",Referencia.Desonerado,Referencia.NaoDesonerado)</f>
        <v>3.64</v>
      </c>
      <c r="Z107" s="132">
        <f ca="1">ROUND(IF(ISNUMBER(R107),R107,IF(LEFT(R107,3)="BDI",HLOOKUP(R107,DADOS!$T$37:$X$38,2,FALSE),0)),15-11*$X$5)</f>
        <v>0.206</v>
      </c>
      <c r="AA107" s="4"/>
    </row>
    <row r="108" spans="1:27" ht="12.75">
      <c r="A108" t="str">
        <f t="shared" si="58"/>
        <v>S</v>
      </c>
      <c r="B108">
        <f t="shared" si="59"/>
        <v>0</v>
      </c>
      <c r="C108">
        <f ca="1" t="shared" si="60"/>
        <v>1</v>
      </c>
      <c r="D108">
        <f ca="1" t="shared" si="61"/>
        <v>15</v>
      </c>
      <c r="E108">
        <f ca="1" t="shared" si="62"/>
        <v>0</v>
      </c>
      <c r="F108">
        <f ca="1" t="shared" si="63"/>
        <v>0</v>
      </c>
      <c r="G108">
        <f ca="1" t="shared" si="64"/>
        <v>2</v>
      </c>
      <c r="H108">
        <f aca="true" ca="1" t="shared" si="72" ref="H108:H139">IF(OR($A108="S",$A108=0),0,MATCH(0,OFFSET($B108,1,$A108,ROW($A$174)-ROW($A108)),0))</f>
        <v>0</v>
      </c>
      <c r="I108">
        <f aca="true" ca="1" t="shared" si="73" ref="I108:I139">IF(OR($A108="S",$A108=0),0,MATCH(OFFSET($B108,0,$A108)+1,OFFSET($B108,1,$A108,ROW($A$174)-ROW($A108)),0))</f>
        <v>0</v>
      </c>
      <c r="J108" s="120" t="s">
        <v>103</v>
      </c>
      <c r="K108" s="162" t="str">
        <f ca="1" t="shared" si="65"/>
        <v>1.15.2.</v>
      </c>
      <c r="L108" s="209" t="s">
        <v>228</v>
      </c>
      <c r="M108" s="209" t="s">
        <v>301</v>
      </c>
      <c r="N108" s="230" t="str">
        <f ca="1">IF($A108="S",Referencia.Descricao,"(digite a descrição aqui)")</f>
        <v>FUNDO SELADOR ACRÍLICO, APLICAÇÃO MANUAL EM TETO, UMA DEMÃO. AF_04/2023</v>
      </c>
      <c r="O108" s="229" t="str">
        <f ca="1">Referencia.Unidade</f>
        <v>M2</v>
      </c>
      <c r="P108" s="232">
        <f ca="1">OFFSET(PLQ!$E$12,ROW($P108)-ROW(P$12),0)</f>
        <v>185.12</v>
      </c>
      <c r="Q108" s="228">
        <v>4.53</v>
      </c>
      <c r="R108" s="231" t="s">
        <v>7</v>
      </c>
      <c r="S108" s="121">
        <f ca="1" t="shared" si="55"/>
        <v>5.46</v>
      </c>
      <c r="T108" s="98">
        <f ca="1" t="shared" si="56"/>
        <v>1010.76</v>
      </c>
      <c r="U108" s="13" t="str">
        <f ca="1" t="shared" si="66"/>
        <v/>
      </c>
      <c r="V108" s="4" t="str">
        <f ca="1">IF(OR($A108=0,$A108="S",$A108&gt;CFF!$A$9),"",MAX(V$12:OFFSET(V108,-1,0))+1)</f>
        <v/>
      </c>
      <c r="W108" s="9" t="str">
        <f t="shared" si="67"/>
        <v>Sinapi-88484</v>
      </c>
      <c r="X108" s="4">
        <f ca="1" t="shared" si="57"/>
        <v>5980</v>
      </c>
      <c r="Y108" s="121">
        <f ca="1">IF(Import.Desoneracao="sim",Referencia.Desonerado,Referencia.NaoDesonerado)</f>
        <v>4.53</v>
      </c>
      <c r="Z108" s="132">
        <f ca="1">ROUND(IF(ISNUMBER(R108),R108,IF(LEFT(R108,3)="BDI",HLOOKUP(R108,DADOS!$T$37:$X$38,2,FALSE),0)),15-11*$X$5)</f>
        <v>0.206</v>
      </c>
      <c r="AA108" s="4"/>
    </row>
    <row r="109" spans="1:27" ht="26.4">
      <c r="A109" t="str">
        <f t="shared" si="58"/>
        <v>S</v>
      </c>
      <c r="B109">
        <f t="shared" si="59"/>
        <v>0</v>
      </c>
      <c r="C109">
        <f ca="1" t="shared" si="60"/>
        <v>1</v>
      </c>
      <c r="D109">
        <f ca="1" t="shared" si="61"/>
        <v>15</v>
      </c>
      <c r="E109">
        <f ca="1" t="shared" si="62"/>
        <v>0</v>
      </c>
      <c r="F109">
        <f ca="1" t="shared" si="63"/>
        <v>0</v>
      </c>
      <c r="G109">
        <f ca="1" t="shared" si="64"/>
        <v>3</v>
      </c>
      <c r="H109">
        <f ca="1" t="shared" si="72"/>
        <v>0</v>
      </c>
      <c r="I109">
        <f ca="1" t="shared" si="73"/>
        <v>0</v>
      </c>
      <c r="J109" s="120" t="s">
        <v>103</v>
      </c>
      <c r="K109" s="162" t="str">
        <f ca="1" t="shared" si="65"/>
        <v>1.15.3.</v>
      </c>
      <c r="L109" s="209" t="s">
        <v>228</v>
      </c>
      <c r="M109" s="209" t="s">
        <v>302</v>
      </c>
      <c r="N109" s="230" t="str">
        <f ca="1">IF($A109="S",Referencia.Descricao,"(digite a descrição aqui)")</f>
        <v>PINTURA LÁTEX ACRÍLICA PREMIUM, APLICAÇÃO MANUAL EM PAREDES, DUAS DEMÃOS. AF_04/2023</v>
      </c>
      <c r="O109" s="229" t="str">
        <f ca="1">Referencia.Unidade</f>
        <v>M2</v>
      </c>
      <c r="P109" s="232">
        <f ca="1">OFFSET(PLQ!$E$12,ROW($P109)-ROW(P$12),0)</f>
        <v>3825.64</v>
      </c>
      <c r="Q109" s="228">
        <v>12.37</v>
      </c>
      <c r="R109" s="231" t="s">
        <v>7</v>
      </c>
      <c r="S109" s="121">
        <f ca="1" t="shared" si="55"/>
        <v>14.92</v>
      </c>
      <c r="T109" s="98">
        <f ca="1" t="shared" si="56"/>
        <v>57078.55</v>
      </c>
      <c r="U109" s="13" t="str">
        <f ca="1" t="shared" si="66"/>
        <v/>
      </c>
      <c r="V109" s="4" t="str">
        <f ca="1">IF(OR($A109=0,$A109="S",$A109&gt;CFF!$A$9),"",MAX(V$12:OFFSET(V109,-1,0))+1)</f>
        <v/>
      </c>
      <c r="W109" s="9" t="str">
        <f t="shared" si="67"/>
        <v>Sinapi-88489</v>
      </c>
      <c r="X109" s="4">
        <f ca="1" t="shared" si="57"/>
        <v>5983</v>
      </c>
      <c r="Y109" s="121">
        <f ca="1">IF(Import.Desoneracao="sim",Referencia.Desonerado,Referencia.NaoDesonerado)</f>
        <v>12.37</v>
      </c>
      <c r="Z109" s="132">
        <f ca="1">ROUND(IF(ISNUMBER(R109),R109,IF(LEFT(R109,3)="BDI",HLOOKUP(R109,DADOS!$T$37:$X$38,2,FALSE),0)),15-11*$X$5)</f>
        <v>0.206</v>
      </c>
      <c r="AA109" s="4"/>
    </row>
    <row r="110" spans="1:27" ht="26.4">
      <c r="A110" t="str">
        <f t="shared" si="58"/>
        <v>S</v>
      </c>
      <c r="B110">
        <f t="shared" si="59"/>
        <v>0</v>
      </c>
      <c r="C110">
        <f ca="1" t="shared" si="60"/>
        <v>1</v>
      </c>
      <c r="D110">
        <f ca="1" t="shared" si="61"/>
        <v>15</v>
      </c>
      <c r="E110">
        <f ca="1" t="shared" si="62"/>
        <v>0</v>
      </c>
      <c r="F110">
        <f ca="1" t="shared" si="63"/>
        <v>0</v>
      </c>
      <c r="G110">
        <f ca="1" t="shared" si="64"/>
        <v>4</v>
      </c>
      <c r="H110">
        <f ca="1" t="shared" si="72"/>
        <v>0</v>
      </c>
      <c r="I110">
        <f ca="1" t="shared" si="73"/>
        <v>0</v>
      </c>
      <c r="J110" s="120" t="s">
        <v>103</v>
      </c>
      <c r="K110" s="162" t="str">
        <f ca="1" t="shared" si="65"/>
        <v>1.15.4.</v>
      </c>
      <c r="L110" s="209" t="s">
        <v>228</v>
      </c>
      <c r="M110" s="209" t="s">
        <v>303</v>
      </c>
      <c r="N110" s="230" t="str">
        <f ca="1">IF($A110="S",Referencia.Descricao,"(digite a descrição aqui)")</f>
        <v>PINTURA LÁTEX ACRÍLICA PREMIUM, APLICAÇÃO MANUAL EM TETO, DUAS DEMÃOS. AF_04/2023</v>
      </c>
      <c r="O110" s="229" t="str">
        <f ca="1">Referencia.Unidade</f>
        <v>M2</v>
      </c>
      <c r="P110" s="232">
        <f ca="1">OFFSET(PLQ!$E$12,ROW($P110)-ROW(P$12),0)</f>
        <v>185.12</v>
      </c>
      <c r="Q110" s="228">
        <v>14.56</v>
      </c>
      <c r="R110" s="231" t="s">
        <v>7</v>
      </c>
      <c r="S110" s="121">
        <f ca="1" t="shared" si="55"/>
        <v>17.56</v>
      </c>
      <c r="T110" s="98">
        <f ca="1" t="shared" si="56"/>
        <v>3250.71</v>
      </c>
      <c r="U110" s="13" t="str">
        <f ca="1" t="shared" si="66"/>
        <v/>
      </c>
      <c r="V110" s="4" t="str">
        <f ca="1">IF(OR($A110=0,$A110="S",$A110&gt;CFF!$A$9),"",MAX(V$12:OFFSET(V110,-1,0))+1)</f>
        <v/>
      </c>
      <c r="W110" s="9" t="str">
        <f t="shared" si="67"/>
        <v>Sinapi-88488</v>
      </c>
      <c r="X110" s="4">
        <f ca="1" t="shared" si="57"/>
        <v>5982</v>
      </c>
      <c r="Y110" s="121">
        <f ca="1">IF(Import.Desoneracao="sim",Referencia.Desonerado,Referencia.NaoDesonerado)</f>
        <v>14.56</v>
      </c>
      <c r="Z110" s="132">
        <f ca="1">ROUND(IF(ISNUMBER(R110),R110,IF(LEFT(R110,3)="BDI",HLOOKUP(R110,DADOS!$T$37:$X$38,2,FALSE),0)),15-11*$X$5)</f>
        <v>0.206</v>
      </c>
      <c r="AA110" s="4"/>
    </row>
    <row r="111" spans="1:27" ht="12.75">
      <c r="A111" t="str">
        <f t="shared" si="58"/>
        <v>S</v>
      </c>
      <c r="B111">
        <f t="shared" si="59"/>
        <v>0</v>
      </c>
      <c r="C111">
        <f ca="1" t="shared" si="60"/>
        <v>1</v>
      </c>
      <c r="D111">
        <f ca="1" t="shared" si="61"/>
        <v>15</v>
      </c>
      <c r="E111">
        <f ca="1" t="shared" si="62"/>
        <v>0</v>
      </c>
      <c r="F111">
        <f ca="1" t="shared" si="63"/>
        <v>0</v>
      </c>
      <c r="G111">
        <f ca="1" t="shared" si="64"/>
        <v>5</v>
      </c>
      <c r="H111">
        <f ca="1" t="shared" si="72"/>
        <v>0</v>
      </c>
      <c r="I111">
        <f ca="1" t="shared" si="73"/>
        <v>0</v>
      </c>
      <c r="J111" s="120" t="s">
        <v>103</v>
      </c>
      <c r="K111" s="162" t="str">
        <f ca="1" t="shared" si="65"/>
        <v>1.15.5.</v>
      </c>
      <c r="L111" s="209" t="s">
        <v>228</v>
      </c>
      <c r="M111" s="209" t="s">
        <v>304</v>
      </c>
      <c r="N111" s="230" t="str">
        <f ca="1">IF($A111="S",Referencia.Descricao,"(digite a descrição aqui)")</f>
        <v>LIXAMENTO DE MADEIRA PARA APLICAÇÃO DE FUNDO OU PINTURA. AF_01/2021</v>
      </c>
      <c r="O111" s="229" t="str">
        <f ca="1">Referencia.Unidade</f>
        <v>M2</v>
      </c>
      <c r="P111" s="232">
        <f ca="1">OFFSET(PLQ!$E$12,ROW($P111)-ROW(P$12),0)</f>
        <v>3728.79</v>
      </c>
      <c r="Q111" s="228">
        <v>2</v>
      </c>
      <c r="R111" s="231" t="s">
        <v>7</v>
      </c>
      <c r="S111" s="121">
        <f ca="1" t="shared" si="55"/>
        <v>2.41</v>
      </c>
      <c r="T111" s="98">
        <f ca="1" t="shared" si="56"/>
        <v>8986.38</v>
      </c>
      <c r="U111" s="13" t="str">
        <f ca="1" t="shared" si="66"/>
        <v/>
      </c>
      <c r="V111" s="4" t="str">
        <f ca="1">IF(OR($A111=0,$A111="S",$A111&gt;CFF!$A$9),"",MAX(V$12:OFFSET(V111,-1,0))+1)</f>
        <v/>
      </c>
      <c r="W111" s="9" t="str">
        <f t="shared" si="67"/>
        <v>Sinapi-102193</v>
      </c>
      <c r="X111" s="4">
        <f ca="1" t="shared" si="57"/>
        <v>6009</v>
      </c>
      <c r="Y111" s="121">
        <f ca="1">IF(Import.Desoneracao="sim",Referencia.Desonerado,Referencia.NaoDesonerado)</f>
        <v>2</v>
      </c>
      <c r="Z111" s="132">
        <f ca="1">ROUND(IF(ISNUMBER(R111),R111,IF(LEFT(R111,3)="BDI",HLOOKUP(R111,DADOS!$T$37:$X$38,2,FALSE),0)),15-11*$X$5)</f>
        <v>0.206</v>
      </c>
      <c r="AA111" s="4"/>
    </row>
    <row r="112" spans="1:27" ht="26.4">
      <c r="A112" t="str">
        <f t="shared" si="58"/>
        <v>S</v>
      </c>
      <c r="B112">
        <f t="shared" si="59"/>
        <v>0</v>
      </c>
      <c r="C112">
        <f ca="1" t="shared" si="60"/>
        <v>1</v>
      </c>
      <c r="D112">
        <f ca="1" t="shared" si="61"/>
        <v>15</v>
      </c>
      <c r="E112">
        <f ca="1" t="shared" si="62"/>
        <v>0</v>
      </c>
      <c r="F112">
        <f ca="1" t="shared" si="63"/>
        <v>0</v>
      </c>
      <c r="G112">
        <f ca="1" t="shared" si="64"/>
        <v>6</v>
      </c>
      <c r="H112">
        <f ca="1" t="shared" si="72"/>
        <v>0</v>
      </c>
      <c r="I112">
        <f ca="1" t="shared" si="73"/>
        <v>0</v>
      </c>
      <c r="J112" s="120" t="s">
        <v>103</v>
      </c>
      <c r="K112" s="162" t="str">
        <f ca="1" t="shared" si="65"/>
        <v>1.15.6.</v>
      </c>
      <c r="L112" s="209" t="s">
        <v>228</v>
      </c>
      <c r="M112" s="209" t="s">
        <v>305</v>
      </c>
      <c r="N112" s="230" t="str">
        <f ca="1">IF($A112="S",Referencia.Descricao,"(digite a descrição aqui)")</f>
        <v>PINTURA VERNIZ (INCOLOR) ALQUÍDICO EM MADEIRA, USO INTERNO, 2 DEMÃOS. AF_01/2021</v>
      </c>
      <c r="O112" s="229" t="str">
        <f ca="1">Referencia.Unidade</f>
        <v>M2</v>
      </c>
      <c r="P112" s="232">
        <f ca="1">OFFSET(PLQ!$E$12,ROW($P112)-ROW(P$12),0)</f>
        <v>3728.79</v>
      </c>
      <c r="Q112" s="228">
        <v>20.55</v>
      </c>
      <c r="R112" s="231" t="s">
        <v>7</v>
      </c>
      <c r="S112" s="121">
        <f ca="1" t="shared" si="55"/>
        <v>24.78</v>
      </c>
      <c r="T112" s="98">
        <f ca="1" t="shared" si="56"/>
        <v>92399.42</v>
      </c>
      <c r="U112" s="13" t="str">
        <f ca="1" t="shared" si="66"/>
        <v/>
      </c>
      <c r="V112" s="4" t="str">
        <f ca="1">IF(OR($A112=0,$A112="S",$A112&gt;CFF!$A$9),"",MAX(V$12:OFFSET(V112,-1,0))+1)</f>
        <v/>
      </c>
      <c r="W112" s="9" t="str">
        <f t="shared" si="67"/>
        <v>Sinapi-102214</v>
      </c>
      <c r="X112" s="4">
        <f ca="1" t="shared" si="57"/>
        <v>6023</v>
      </c>
      <c r="Y112" s="121">
        <f ca="1">IF(Import.Desoneracao="sim",Referencia.Desonerado,Referencia.NaoDesonerado)</f>
        <v>20.55</v>
      </c>
      <c r="Z112" s="132">
        <f ca="1">ROUND(IF(ISNUMBER(R112),R112,IF(LEFT(R112,3)="BDI",HLOOKUP(R112,DADOS!$T$37:$X$38,2,FALSE),0)),15-11*$X$5)</f>
        <v>0.206</v>
      </c>
      <c r="AA112" s="4"/>
    </row>
    <row r="113" spans="1:27" ht="12.75">
      <c r="A113">
        <f t="shared" si="58"/>
        <v>2</v>
      </c>
      <c r="B113">
        <f ca="1" t="shared" si="59"/>
        <v>8</v>
      </c>
      <c r="C113">
        <f ca="1" t="shared" si="60"/>
        <v>1</v>
      </c>
      <c r="D113">
        <f ca="1" t="shared" si="61"/>
        <v>16</v>
      </c>
      <c r="E113">
        <f ca="1" t="shared" si="62"/>
        <v>0</v>
      </c>
      <c r="F113">
        <f ca="1" t="shared" si="63"/>
        <v>0</v>
      </c>
      <c r="G113">
        <f ca="1" t="shared" si="64"/>
        <v>0</v>
      </c>
      <c r="H113">
        <f ca="1" t="shared" si="72"/>
        <v>61</v>
      </c>
      <c r="I113">
        <f ca="1" t="shared" si="73"/>
        <v>8</v>
      </c>
      <c r="J113" s="120" t="s">
        <v>100</v>
      </c>
      <c r="K113" s="162" t="str">
        <f ca="1" t="shared" si="65"/>
        <v>1.16.</v>
      </c>
      <c r="L113" s="209"/>
      <c r="M113" s="209"/>
      <c r="N113" s="230" t="s">
        <v>312</v>
      </c>
      <c r="O113" s="229" t="str">
        <f ca="1">Referencia.Unidade</f>
        <v/>
      </c>
      <c r="P113" s="232">
        <f ca="1">OFFSET(PLQ!$E$12,ROW($P113)-ROW(P$12),0)</f>
        <v>0</v>
      </c>
      <c r="Q113" s="228"/>
      <c r="R113" s="231" t="s">
        <v>7</v>
      </c>
      <c r="S113" s="121">
        <f t="shared" si="55"/>
        <v>0</v>
      </c>
      <c r="T113" s="98">
        <f ca="1" t="shared" si="56"/>
        <v>409918.54</v>
      </c>
      <c r="U113" s="13" t="str">
        <f ca="1" t="shared" si="66"/>
        <v/>
      </c>
      <c r="V113" s="4">
        <f ca="1">IF(OR($A113=0,$A113="S",$A113&gt;CFF!$A$9),"",MAX(V$12:OFFSET(V113,-1,0))+1)</f>
        <v>17</v>
      </c>
      <c r="W113" s="9" t="b">
        <f t="shared" si="67"/>
        <v>0</v>
      </c>
      <c r="X113" s="4" t="str">
        <f ca="1" t="shared" si="57"/>
        <v>X</v>
      </c>
      <c r="Y113" s="121">
        <f ca="1">IF(Import.Desoneracao="sim",Referencia.Desonerado,Referencia.NaoDesonerado)</f>
        <v>0</v>
      </c>
      <c r="Z113" s="132">
        <f ca="1">ROUND(IF(ISNUMBER(R113),R113,IF(LEFT(R113,3)="BDI",HLOOKUP(R113,DADOS!$T$37:$X$38,2,FALSE),0)),15-11*$X$5)</f>
        <v>0.206</v>
      </c>
      <c r="AA113" s="4"/>
    </row>
    <row r="114" spans="1:27" ht="52.8">
      <c r="A114" t="str">
        <f t="shared" si="58"/>
        <v>S</v>
      </c>
      <c r="B114">
        <f t="shared" si="59"/>
        <v>0</v>
      </c>
      <c r="C114">
        <f ca="1" t="shared" si="60"/>
        <v>1</v>
      </c>
      <c r="D114">
        <f ca="1" t="shared" si="61"/>
        <v>16</v>
      </c>
      <c r="E114">
        <f ca="1" t="shared" si="62"/>
        <v>0</v>
      </c>
      <c r="F114">
        <f ca="1" t="shared" si="63"/>
        <v>0</v>
      </c>
      <c r="G114">
        <f ca="1" t="shared" si="64"/>
        <v>1</v>
      </c>
      <c r="H114">
        <f ca="1" t="shared" si="72"/>
        <v>0</v>
      </c>
      <c r="I114">
        <f ca="1" t="shared" si="73"/>
        <v>0</v>
      </c>
      <c r="J114" s="120" t="s">
        <v>103</v>
      </c>
      <c r="K114" s="162" t="str">
        <f ca="1" t="shared" si="65"/>
        <v>1.16.1.</v>
      </c>
      <c r="L114" s="209" t="s">
        <v>228</v>
      </c>
      <c r="M114" s="209" t="s">
        <v>313</v>
      </c>
      <c r="N114" s="230" t="str">
        <f ca="1">IF($A114="S",Referencia.Descricao,"(digite a descrição aqui)")</f>
        <v>KIT DE PORTA DE MADEIRA PARA PINTURA, SEMI-OCA (LEVE OU MÉDIA), PADRÃO MÉDIO, 80X210CM, ESPESSURA DE 3,5CM, ITENS INCLUSOS: DOBRADIÇAS, MONTAGEM E INSTALAÇÃO DO BATENTE, FECHADURA COM EXECUÇÃO DO FURO - FORNECIMENTO E INSTALAÇÃO. AF_12/2019</v>
      </c>
      <c r="O114" s="229" t="str">
        <f ca="1">Referencia.Unidade</f>
        <v>UN</v>
      </c>
      <c r="P114" s="232">
        <f ca="1">OFFSET(PLQ!$E$12,ROW($P114)-ROW(P$12),0)</f>
        <v>13</v>
      </c>
      <c r="Q114" s="228">
        <v>1317.64</v>
      </c>
      <c r="R114" s="231" t="s">
        <v>7</v>
      </c>
      <c r="S114" s="121">
        <f ca="1" t="shared" si="55"/>
        <v>1589.07</v>
      </c>
      <c r="T114" s="98">
        <f ca="1" t="shared" si="56"/>
        <v>20657.91</v>
      </c>
      <c r="U114" s="13" t="str">
        <f ca="1" t="shared" si="66"/>
        <v/>
      </c>
      <c r="V114" s="4" t="str">
        <f ca="1">IF(OR($A114=0,$A114="S",$A114&gt;CFF!$A$9),"",MAX(V$12:OFFSET(V114,-1,0))+1)</f>
        <v/>
      </c>
      <c r="W114" s="9" t="str">
        <f t="shared" si="67"/>
        <v>Sinapi-90843</v>
      </c>
      <c r="X114" s="4">
        <f ca="1" t="shared" si="57"/>
        <v>1959</v>
      </c>
      <c r="Y114" s="121">
        <f ca="1">IF(Import.Desoneracao="sim",Referencia.Desonerado,Referencia.NaoDesonerado)</f>
        <v>1317.64</v>
      </c>
      <c r="Z114" s="132">
        <f ca="1">ROUND(IF(ISNUMBER(R114),R114,IF(LEFT(R114,3)="BDI",HLOOKUP(R114,DADOS!$T$37:$X$38,2,FALSE),0)),15-11*$X$5)</f>
        <v>0.206</v>
      </c>
      <c r="AA114" s="4"/>
    </row>
    <row r="115" spans="1:27" ht="26.4">
      <c r="A115" t="str">
        <f t="shared" si="58"/>
        <v>S</v>
      </c>
      <c r="B115">
        <f t="shared" si="59"/>
        <v>0</v>
      </c>
      <c r="C115">
        <f ca="1" t="shared" si="60"/>
        <v>1</v>
      </c>
      <c r="D115">
        <f ca="1" t="shared" si="61"/>
        <v>16</v>
      </c>
      <c r="E115">
        <f ca="1" t="shared" si="62"/>
        <v>0</v>
      </c>
      <c r="F115">
        <f ca="1" t="shared" si="63"/>
        <v>0</v>
      </c>
      <c r="G115">
        <f ca="1" t="shared" si="64"/>
        <v>2</v>
      </c>
      <c r="H115">
        <f ca="1" t="shared" si="72"/>
        <v>0</v>
      </c>
      <c r="I115">
        <f ca="1" t="shared" si="73"/>
        <v>0</v>
      </c>
      <c r="J115" s="120" t="s">
        <v>103</v>
      </c>
      <c r="K115" s="162" t="str">
        <f ca="1" t="shared" si="65"/>
        <v>1.16.2.</v>
      </c>
      <c r="L115" s="209" t="s">
        <v>240</v>
      </c>
      <c r="M115" s="209" t="s">
        <v>315</v>
      </c>
      <c r="N115" s="230" t="str">
        <f ca="1">IF($A115="S",Referencia.Descricao,"(digite a descrição aqui)")</f>
        <v xml:space="preserve">Porta de madeira de correr 100x210cm, semi oca, para pintura, com trilho, roldana, puxador e fechadura - Fornecimento e Instalação </v>
      </c>
      <c r="O115" s="229" t="str">
        <f ca="1">Referencia.Unidade</f>
        <v>UNIDADE</v>
      </c>
      <c r="P115" s="232">
        <f ca="1">OFFSET(PLQ!$E$12,ROW($P115)-ROW(P$12),0)</f>
        <v>26</v>
      </c>
      <c r="Q115" s="228">
        <v>1061.25</v>
      </c>
      <c r="R115" s="231" t="s">
        <v>7</v>
      </c>
      <c r="S115" s="121">
        <f ca="1" t="shared" si="55"/>
        <v>1279.87</v>
      </c>
      <c r="T115" s="98">
        <f ca="1" t="shared" si="56"/>
        <v>33276.62</v>
      </c>
      <c r="U115" s="13" t="str">
        <f ca="1" t="shared" si="66"/>
        <v/>
      </c>
      <c r="V115" s="4" t="str">
        <f ca="1">IF(OR($A115=0,$A115="S",$A115&gt;CFF!$A$9),"",MAX(V$12:OFFSET(V115,-1,0))+1)</f>
        <v/>
      </c>
      <c r="W115" s="9" t="str">
        <f t="shared" si="67"/>
        <v>COMPOSIÇÃO-05</v>
      </c>
      <c r="X115" s="4">
        <f ca="1" t="shared" si="57"/>
        <v>11</v>
      </c>
      <c r="Y115" s="121">
        <f ca="1">IF(Import.Desoneracao="sim",Referencia.Desonerado,Referencia.NaoDesonerado)</f>
        <v>1061.25</v>
      </c>
      <c r="Z115" s="132">
        <f ca="1">ROUND(IF(ISNUMBER(R115),R115,IF(LEFT(R115,3)="BDI",HLOOKUP(R115,DADOS!$T$37:$X$38,2,FALSE),0)),15-11*$X$5)</f>
        <v>0.206</v>
      </c>
      <c r="AA115" s="4"/>
    </row>
    <row r="116" spans="1:27" ht="12.75">
      <c r="A116" t="str">
        <f>CHOOSE(1+LOG(1+2*(J116="Meta")+4*(J116="Nível 2")+8*(J116="Nível 3")+16*(J116="Nível 4")+32*(J116="Serviço"),2),0,1,2,3,4,"S")</f>
        <v>S</v>
      </c>
      <c r="B116">
        <f>IF(OR(A116="S",A116=0),0,IF(ISERROR(I116),H116,SMALL(H116:I116,1)))</f>
        <v>0</v>
      </c>
      <c r="C116">
        <f ca="1">IF($A116=1,OFFSET(C116,-1,0)+1,OFFSET(C116,-1,0))</f>
        <v>1</v>
      </c>
      <c r="D116">
        <f ca="1">IF($A116=1,0,IF($A116=2,OFFSET(D116,-1,0)+1,OFFSET(D116,-1,0)))</f>
        <v>16</v>
      </c>
      <c r="E116">
        <f ca="1">IF(AND($A116&lt;=2,$A116&lt;&gt;0),0,IF($A116=3,OFFSET(E116,-1,0)+1,OFFSET(E116,-1,0)))</f>
        <v>0</v>
      </c>
      <c r="F116">
        <f ca="1">IF(AND($A116&lt;=3,$A116&lt;&gt;0),0,IF($A116=4,OFFSET(F116,-1,0)+1,OFFSET(F116,-1,0)))</f>
        <v>0</v>
      </c>
      <c r="G116">
        <f ca="1">IF(AND($A116&lt;=4,$A116&lt;&gt;0),0,IF($A116="S",OFFSET(G116,-1,0)+1,OFFSET(G116,-1,0)))</f>
        <v>3</v>
      </c>
      <c r="H116">
        <f ca="1" t="shared" si="72"/>
        <v>0</v>
      </c>
      <c r="I116">
        <f ca="1" t="shared" si="73"/>
        <v>0</v>
      </c>
      <c r="J116" s="120" t="s">
        <v>103</v>
      </c>
      <c r="K116" s="162" t="str">
        <f ca="1">IF($A116=0,"-",CONCATENATE(C116&amp;".",IF(AND($A$5&gt;=2,$A116&gt;=2),D116&amp;".",""),IF(AND($A$5&gt;=3,$A116&gt;=3),E116&amp;".",""),IF(AND($A$5&gt;=4,$A116&gt;=4),F116&amp;".",""),IF($A116="S",G116&amp;".","")))</f>
        <v>1.16.3.</v>
      </c>
      <c r="L116" s="209" t="s">
        <v>317</v>
      </c>
      <c r="M116" s="209" t="s">
        <v>316</v>
      </c>
      <c r="N116" s="230" t="s">
        <v>383</v>
      </c>
      <c r="O116" s="229" t="s">
        <v>318</v>
      </c>
      <c r="P116" s="232">
        <f ca="1">OFFSET(PLQ!$E$12,ROW($P116)-ROW(P$12),0)</f>
        <v>20.8</v>
      </c>
      <c r="Q116" s="228">
        <v>115.55</v>
      </c>
      <c r="R116" s="231" t="s">
        <v>8</v>
      </c>
      <c r="S116" s="121">
        <f ca="1">IF($A116="S",IF($Q$10="Preço Unitário (R$)",PO.CustoUnitario,ROUND(PO.CustoUnitario*(1+$Z116),15-13*$X$6)),0)</f>
        <v>130.13</v>
      </c>
      <c r="T116" s="98">
        <f ca="1">IF($A116="S",VTOTAL1,IF($A116=0,0,ROUND(SomaAgrup,15-13*$X$7)))</f>
        <v>2706.7</v>
      </c>
      <c r="U116" s="13" t="str">
        <f ca="1">IF($J116="","",IF($N116="","DESCRIÇÃO",IF(AND($J116="Serviço",$O116=""),"UNIDADE",IF($T116&lt;=0,"SEM VALOR",IF(AND($Y116&lt;&gt;"",$Q116&gt;$Y116),"ACIMA REF.","")))))</f>
        <v>ACIMA REF.</v>
      </c>
      <c r="V116" s="4" t="str">
        <f ca="1">IF(OR($A116=0,$A116="S",$A116&gt;CFF!$A$9),"",MAX(V$12:OFFSET(V116,-1,0))+1)</f>
        <v/>
      </c>
      <c r="W116" s="9" t="str">
        <f>IF(AND($J116="Serviço",$M116&lt;&gt;""),IF($L116="",$M116,CONCATENATE($L116,"-",$M116)))</f>
        <v>Seinfra-I8624</v>
      </c>
      <c r="X116" s="4" t="e">
        <f ca="1">IF(AND(Fonte&lt;&gt;"",Código&lt;&gt;""),MATCH(Fonte&amp;" "&amp;IF(Fonte="sinapi",SUBSTITUTE(SUBSTITUTE(Código,"/00","/"),"/0","/"),Código),INDIRECT("'[Referência "&amp;_XLNM.DATABASE&amp;".xls]Banco'!$a:$a"),0),"X")</f>
        <v>#N/A</v>
      </c>
      <c r="Y116" s="121">
        <f ca="1">IF(Import.Desoneracao="sim",Referencia.Desonerado,Referencia.NaoDesonerado)</f>
        <v>0</v>
      </c>
      <c r="Z116" s="132">
        <f ca="1">ROUND(IF(ISNUMBER(R116),R116,IF(LEFT(R116,3)="BDI",HLOOKUP(R116,DADOS!$T$37:$X$38,2,FALSE),0)),15-11*$X$5)</f>
        <v>0.1262</v>
      </c>
      <c r="AA116" s="4"/>
    </row>
    <row r="117" spans="1:27" ht="26.4">
      <c r="A117" t="str">
        <f t="shared" si="58"/>
        <v>S</v>
      </c>
      <c r="B117">
        <f t="shared" si="59"/>
        <v>0</v>
      </c>
      <c r="C117">
        <f ca="1" t="shared" si="60"/>
        <v>1</v>
      </c>
      <c r="D117">
        <f ca="1" t="shared" si="61"/>
        <v>16</v>
      </c>
      <c r="E117">
        <f ca="1" t="shared" si="62"/>
        <v>0</v>
      </c>
      <c r="F117">
        <f ca="1" t="shared" si="63"/>
        <v>0</v>
      </c>
      <c r="G117">
        <f ca="1" t="shared" si="64"/>
        <v>4</v>
      </c>
      <c r="H117">
        <f ca="1" t="shared" si="72"/>
        <v>0</v>
      </c>
      <c r="I117">
        <f ca="1" t="shared" si="73"/>
        <v>0</v>
      </c>
      <c r="J117" s="120" t="s">
        <v>103</v>
      </c>
      <c r="K117" s="162" t="str">
        <f ca="1" t="shared" si="65"/>
        <v>1.16.4.</v>
      </c>
      <c r="L117" s="209" t="s">
        <v>228</v>
      </c>
      <c r="M117" s="209" t="s">
        <v>314</v>
      </c>
      <c r="N117" s="230" t="str">
        <f ca="1">IF($A117="S",Referencia.Descricao,"(digite a descrição aqui)")</f>
        <v>PORTA EM ALUMÍNIO DE ABRIR TIPO VENEZIANA COM GUARNIÇÃO, FIXAÇÃO COM PARAFUSOS - FORNECIMENTO E INSTALAÇÃO. AF_12/2019</v>
      </c>
      <c r="O117" s="229" t="str">
        <f ca="1">Referencia.Unidade</f>
        <v>M2</v>
      </c>
      <c r="P117" s="232">
        <f ca="1">OFFSET(PLQ!$E$12,ROW($P117)-ROW(P$12),0)</f>
        <v>27.3</v>
      </c>
      <c r="Q117" s="228">
        <v>906.37</v>
      </c>
      <c r="R117" s="231" t="s">
        <v>7</v>
      </c>
      <c r="S117" s="121">
        <f ca="1" t="shared" si="55"/>
        <v>1093.08</v>
      </c>
      <c r="T117" s="98">
        <f ca="1" t="shared" si="56"/>
        <v>29841.08</v>
      </c>
      <c r="U117" s="13" t="str">
        <f ca="1" t="shared" si="66"/>
        <v/>
      </c>
      <c r="V117" s="4" t="str">
        <f ca="1">IF(OR($A117=0,$A117="S",$A117&gt;CFF!$A$9),"",MAX(V$12:OFFSET(V117,-1,0))+1)</f>
        <v/>
      </c>
      <c r="W117" s="9" t="str">
        <f t="shared" si="67"/>
        <v>Sinapi-91341</v>
      </c>
      <c r="X117" s="4">
        <f ca="1" t="shared" si="57"/>
        <v>2064</v>
      </c>
      <c r="Y117" s="121">
        <f ca="1">IF(Import.Desoneracao="sim",Referencia.Desonerado,Referencia.NaoDesonerado)</f>
        <v>906.37</v>
      </c>
      <c r="Z117" s="132">
        <f ca="1">ROUND(IF(ISNUMBER(R117),R117,IF(LEFT(R117,3)="BDI",HLOOKUP(R117,DADOS!$T$37:$X$38,2,FALSE),0)),15-11*$X$5)</f>
        <v>0.206</v>
      </c>
      <c r="AA117" s="4"/>
    </row>
    <row r="118" spans="1:27" ht="12.75">
      <c r="A118" t="str">
        <f>CHOOSE(1+LOG(1+2*(J118="Meta")+4*(J118="Nível 2")+8*(J118="Nível 3")+16*(J118="Nível 4")+32*(J118="Serviço"),2),0,1,2,3,4,"S")</f>
        <v>S</v>
      </c>
      <c r="B118">
        <f>IF(OR(A118="S",A118=0),0,IF(ISERROR(I118),H118,SMALL(H118:I118,1)))</f>
        <v>0</v>
      </c>
      <c r="C118">
        <f ca="1">IF($A118=1,OFFSET(C118,-1,0)+1,OFFSET(C118,-1,0))</f>
        <v>1</v>
      </c>
      <c r="D118">
        <f ca="1">IF($A118=1,0,IF($A118=2,OFFSET(D118,-1,0)+1,OFFSET(D118,-1,0)))</f>
        <v>16</v>
      </c>
      <c r="E118">
        <f ca="1">IF(AND($A118&lt;=2,$A118&lt;&gt;0),0,IF($A118=3,OFFSET(E118,-1,0)+1,OFFSET(E118,-1,0)))</f>
        <v>0</v>
      </c>
      <c r="F118">
        <f ca="1">IF(AND($A118&lt;=3,$A118&lt;&gt;0),0,IF($A118=4,OFFSET(F118,-1,0)+1,OFFSET(F118,-1,0)))</f>
        <v>0</v>
      </c>
      <c r="G118">
        <f ca="1">IF(AND($A118&lt;=4,$A118&lt;&gt;0),0,IF($A118="S",OFFSET(G118,-1,0)+1,OFFSET(G118,-1,0)))</f>
        <v>5</v>
      </c>
      <c r="H118">
        <f ca="1" t="shared" si="72"/>
        <v>0</v>
      </c>
      <c r="I118">
        <f ca="1" t="shared" si="73"/>
        <v>0</v>
      </c>
      <c r="J118" s="120" t="s">
        <v>103</v>
      </c>
      <c r="K118" s="162" t="str">
        <f ca="1">IF($A118=0,"-",CONCATENATE(C118&amp;".",IF(AND($A$5&gt;=2,$A118&gt;=2),D118&amp;".",""),IF(AND($A$5&gt;=3,$A118&gt;=3),E118&amp;".",""),IF(AND($A$5&gt;=4,$A118&gt;=4),F118&amp;".",""),IF($A118="S",G118&amp;".","")))</f>
        <v>1.16.5.</v>
      </c>
      <c r="L118" s="209" t="s">
        <v>228</v>
      </c>
      <c r="M118" s="209" t="s">
        <v>321</v>
      </c>
      <c r="N118" s="230" t="str">
        <f ca="1">IF($A118="S",Referencia.Descricao,"(digite a descrição aqui)")</f>
        <v>PUXADOR PARA PCD, FIXADO NA PORTA - FORNECIMENTO E INSTALAÇÃO. AF_01/2020</v>
      </c>
      <c r="O118" s="229" t="str">
        <f ca="1">Referencia.Unidade</f>
        <v>UN</v>
      </c>
      <c r="P118" s="232">
        <f ca="1">OFFSET(PLQ!$E$12,ROW($P118)-ROW(P$12),0)</f>
        <v>26</v>
      </c>
      <c r="Q118" s="228">
        <v>387.55</v>
      </c>
      <c r="R118" s="231" t="s">
        <v>7</v>
      </c>
      <c r="S118" s="121">
        <f ca="1">IF($A118="S",IF($Q$10="Preço Unitário (R$)",PO.CustoUnitario,ROUND(PO.CustoUnitario*(1+$Z118),15-13*$X$6)),0)</f>
        <v>467.39</v>
      </c>
      <c r="T118" s="98">
        <f ca="1">IF($A118="S",VTOTAL1,IF($A118=0,0,ROUND(SomaAgrup,15-13*$X$7)))</f>
        <v>12152.14</v>
      </c>
      <c r="U118" s="13" t="str">
        <f ca="1">IF($J118="","",IF($N118="","DESCRIÇÃO",IF(AND($J118="Serviço",$O118=""),"UNIDADE",IF($T118&lt;=0,"SEM VALOR",IF(AND($Y118&lt;&gt;"",$Q118&gt;$Y118),"ACIMA REF.","")))))</f>
        <v/>
      </c>
      <c r="V118" s="4" t="str">
        <f ca="1">IF(OR($A118=0,$A118="S",$A118&gt;CFF!$A$9),"",MAX(V$12:OFFSET(V118,-1,0))+1)</f>
        <v/>
      </c>
      <c r="W118" s="9" t="str">
        <f>IF(AND($J118="Serviço",$M118&lt;&gt;""),IF($L118="",$M118,CONCATENATE($L118,"-",$M118)))</f>
        <v>Sinapi-100874</v>
      </c>
      <c r="X118" s="4">
        <f ca="1">IF(AND(Fonte&lt;&gt;"",Código&lt;&gt;""),MATCH(Fonte&amp;" "&amp;IF(Fonte="sinapi",SUBSTITUTE(SUBSTITUTE(Código,"/00","/"),"/0","/"),Código),INDIRECT("'[Referência "&amp;_XLNM.DATABASE&amp;".xls]Banco'!$a:$a"),0),"X")</f>
        <v>5145</v>
      </c>
      <c r="Y118" s="121">
        <f ca="1">IF(Import.Desoneracao="sim",Referencia.Desonerado,Referencia.NaoDesonerado)</f>
        <v>387.55</v>
      </c>
      <c r="Z118" s="132">
        <f ca="1">ROUND(IF(ISNUMBER(R118),R118,IF(LEFT(R118,3)="BDI",HLOOKUP(R118,DADOS!$T$37:$X$38,2,FALSE),0)),15-11*$X$5)</f>
        <v>0.206</v>
      </c>
      <c r="AA118" s="4"/>
    </row>
    <row r="119" spans="1:27" ht="26.4">
      <c r="A119" t="str">
        <f t="shared" si="58"/>
        <v>S</v>
      </c>
      <c r="B119">
        <f t="shared" si="59"/>
        <v>0</v>
      </c>
      <c r="C119">
        <f ca="1" t="shared" si="60"/>
        <v>1</v>
      </c>
      <c r="D119">
        <f ca="1" t="shared" si="61"/>
        <v>16</v>
      </c>
      <c r="E119">
        <f ca="1" t="shared" si="62"/>
        <v>0</v>
      </c>
      <c r="F119">
        <f ca="1" t="shared" si="63"/>
        <v>0</v>
      </c>
      <c r="G119">
        <f ca="1" t="shared" si="64"/>
        <v>6</v>
      </c>
      <c r="H119">
        <f ca="1" t="shared" si="72"/>
        <v>0</v>
      </c>
      <c r="I119">
        <f ca="1" t="shared" si="73"/>
        <v>0</v>
      </c>
      <c r="J119" s="120" t="s">
        <v>103</v>
      </c>
      <c r="K119" s="162" t="str">
        <f ca="1" t="shared" si="65"/>
        <v>1.16.6.</v>
      </c>
      <c r="L119" s="209" t="s">
        <v>228</v>
      </c>
      <c r="M119" s="209" t="s">
        <v>319</v>
      </c>
      <c r="N119" s="230" t="str">
        <f ca="1">IF($A119="S",Referencia.Descricao,"(digite a descrição aqui)")</f>
        <v>PORTA DE CORRER DE ALUMÍNIO, COM DUAS FOLHAS PARA VIDRO, INCLUSO VIDRO LISO INCOLOR, FECHADURA E PUXADOR, SEM ALIZAR. AF_12/2019</v>
      </c>
      <c r="O119" s="229" t="str">
        <f ca="1">Referencia.Unidade</f>
        <v>M2</v>
      </c>
      <c r="P119" s="232">
        <f ca="1">OFFSET(PLQ!$E$12,ROW($P119)-ROW(P$12),0)</f>
        <v>368.55</v>
      </c>
      <c r="Q119" s="228">
        <v>673.85</v>
      </c>
      <c r="R119" s="231" t="s">
        <v>7</v>
      </c>
      <c r="S119" s="121">
        <f ca="1" t="shared" si="55"/>
        <v>812.66</v>
      </c>
      <c r="T119" s="98">
        <f ca="1" t="shared" si="56"/>
        <v>299505.84</v>
      </c>
      <c r="U119" s="13" t="str">
        <f ca="1" t="shared" si="66"/>
        <v/>
      </c>
      <c r="V119" s="4" t="str">
        <f ca="1">IF(OR($A119=0,$A119="S",$A119&gt;CFF!$A$9),"",MAX(V$12:OFFSET(V119,-1,0))+1)</f>
        <v/>
      </c>
      <c r="W119" s="9" t="str">
        <f t="shared" si="67"/>
        <v>Sinapi-100702</v>
      </c>
      <c r="X119" s="4">
        <f ca="1" t="shared" si="57"/>
        <v>2068</v>
      </c>
      <c r="Y119" s="121">
        <f ca="1">IF(Import.Desoneracao="sim",Referencia.Desonerado,Referencia.NaoDesonerado)</f>
        <v>673.85</v>
      </c>
      <c r="Z119" s="132">
        <f ca="1">ROUND(IF(ISNUMBER(R119),R119,IF(LEFT(R119,3)="BDI",HLOOKUP(R119,DADOS!$T$37:$X$38,2,FALSE),0)),15-11*$X$5)</f>
        <v>0.206</v>
      </c>
      <c r="AA119" s="4"/>
    </row>
    <row r="120" spans="1:27" ht="39.6">
      <c r="A120" t="str">
        <f t="shared" si="58"/>
        <v>S</v>
      </c>
      <c r="B120">
        <f t="shared" si="59"/>
        <v>0</v>
      </c>
      <c r="C120">
        <f ca="1" t="shared" si="60"/>
        <v>1</v>
      </c>
      <c r="D120">
        <f ca="1" t="shared" si="61"/>
        <v>16</v>
      </c>
      <c r="E120">
        <f ca="1" t="shared" si="62"/>
        <v>0</v>
      </c>
      <c r="F120">
        <f ca="1" t="shared" si="63"/>
        <v>0</v>
      </c>
      <c r="G120">
        <f ca="1" t="shared" si="64"/>
        <v>7</v>
      </c>
      <c r="H120">
        <f ca="1" t="shared" si="72"/>
        <v>0</v>
      </c>
      <c r="I120">
        <f ca="1" t="shared" si="73"/>
        <v>0</v>
      </c>
      <c r="J120" s="120" t="s">
        <v>103</v>
      </c>
      <c r="K120" s="162" t="str">
        <f ca="1" t="shared" si="65"/>
        <v>1.16.7.</v>
      </c>
      <c r="L120" s="209" t="s">
        <v>228</v>
      </c>
      <c r="M120" s="209" t="s">
        <v>320</v>
      </c>
      <c r="N120" s="230" t="str">
        <f ca="1">IF($A120="S",Referencia.Descricao,"(digite a descrição aqui)")</f>
        <v>JANELA DE ALUMÍNIO TIPO MAXIM-AR, COM VIDROS, BATENTE E FERRAGENS. EXCLUSIVE ALIZAR, ACABAMENTO E CONTRAMARCO. FORNECIMENTO E INSTALAÇÃO. AF_12/2019</v>
      </c>
      <c r="O120" s="229" t="str">
        <f ca="1">Referencia.Unidade</f>
        <v>M2</v>
      </c>
      <c r="P120" s="232">
        <f ca="1">OFFSET(PLQ!$E$12,ROW($P120)-ROW(P$12),0)</f>
        <v>12.48</v>
      </c>
      <c r="Q120" s="228">
        <v>782.56</v>
      </c>
      <c r="R120" s="231" t="s">
        <v>7</v>
      </c>
      <c r="S120" s="121">
        <f aca="true" t="shared" si="74" ref="S120:S173">IF($A120="S",IF($Q$10="Preço Unitário (R$)",PO.CustoUnitario,ROUND(PO.CustoUnitario*(1+$Z120),15-13*$X$6)),0)</f>
        <v>943.77</v>
      </c>
      <c r="T120" s="98">
        <f aca="true" ca="1" t="shared" si="75" ref="T120:T173">IF($A120="S",VTOTAL1,IF($A120=0,0,ROUND(SomaAgrup,15-13*$X$7)))</f>
        <v>11778.25</v>
      </c>
      <c r="U120" s="13" t="str">
        <f ca="1" t="shared" si="66"/>
        <v/>
      </c>
      <c r="V120" s="4" t="str">
        <f ca="1">IF(OR($A120=0,$A120="S",$A120&gt;CFF!$A$9),"",MAX(V$12:OFFSET(V120,-1,0))+1)</f>
        <v/>
      </c>
      <c r="W120" s="9" t="str">
        <f t="shared" si="67"/>
        <v>Sinapi-94569</v>
      </c>
      <c r="X120" s="4">
        <f aca="true" t="shared" si="76" ref="X120:X173">IF(AND(Fonte&lt;&gt;"",Código&lt;&gt;""),MATCH(Fonte&amp;" "&amp;IF(Fonte="sinapi",SUBSTITUTE(SUBSTITUTE(Código,"/00","/"),"/0","/"),Código),INDIRECT("'[Referência "&amp;_XLNM.DATABASE&amp;".xls]Banco'!$a:$a"),0),"X")</f>
        <v>2114</v>
      </c>
      <c r="Y120" s="121">
        <f ca="1">IF(Import.Desoneracao="sim",Referencia.Desonerado,Referencia.NaoDesonerado)</f>
        <v>782.56</v>
      </c>
      <c r="Z120" s="132">
        <f ca="1">ROUND(IF(ISNUMBER(R120),R120,IF(LEFT(R120,3)="BDI",HLOOKUP(R120,DADOS!$T$37:$X$38,2,FALSE),0)),15-11*$X$5)</f>
        <v>0.206</v>
      </c>
      <c r="AA120" s="4"/>
    </row>
    <row r="121" spans="1:27" ht="12.75">
      <c r="A121">
        <f t="shared" si="58"/>
        <v>2</v>
      </c>
      <c r="B121">
        <f ca="1" t="shared" si="59"/>
        <v>5</v>
      </c>
      <c r="C121">
        <f ca="1" t="shared" si="60"/>
        <v>1</v>
      </c>
      <c r="D121">
        <f ca="1" t="shared" si="61"/>
        <v>17</v>
      </c>
      <c r="E121">
        <f ca="1" t="shared" si="62"/>
        <v>0</v>
      </c>
      <c r="F121">
        <f ca="1" t="shared" si="63"/>
        <v>0</v>
      </c>
      <c r="G121">
        <f ca="1" t="shared" si="64"/>
        <v>0</v>
      </c>
      <c r="H121">
        <f ca="1" t="shared" si="72"/>
        <v>53</v>
      </c>
      <c r="I121">
        <f ca="1" t="shared" si="73"/>
        <v>5</v>
      </c>
      <c r="J121" s="120" t="s">
        <v>100</v>
      </c>
      <c r="K121" s="162" t="str">
        <f ca="1" t="shared" si="65"/>
        <v>1.17.</v>
      </c>
      <c r="L121" s="209"/>
      <c r="M121" s="209"/>
      <c r="N121" s="230" t="s">
        <v>329</v>
      </c>
      <c r="O121" s="229" t="str">
        <f ca="1">Referencia.Unidade</f>
        <v/>
      </c>
      <c r="P121" s="232">
        <f ca="1">OFFSET(PLQ!$E$12,ROW($P121)-ROW(P$12),0)</f>
        <v>0</v>
      </c>
      <c r="Q121" s="228"/>
      <c r="R121" s="231" t="s">
        <v>7</v>
      </c>
      <c r="S121" s="121">
        <f t="shared" si="74"/>
        <v>0</v>
      </c>
      <c r="T121" s="98">
        <f ca="1" t="shared" si="75"/>
        <v>41755.87</v>
      </c>
      <c r="U121" s="13" t="str">
        <f ca="1" t="shared" si="66"/>
        <v/>
      </c>
      <c r="V121" s="4">
        <f ca="1">IF(OR($A121=0,$A121="S",$A121&gt;CFF!$A$9),"",MAX(V$12:OFFSET(V121,-1,0))+1)</f>
        <v>18</v>
      </c>
      <c r="W121" s="9" t="b">
        <f t="shared" si="67"/>
        <v>0</v>
      </c>
      <c r="X121" s="4" t="str">
        <f ca="1" t="shared" si="76"/>
        <v>X</v>
      </c>
      <c r="Y121" s="121">
        <f ca="1">IF(Import.Desoneracao="sim",Referencia.Desonerado,Referencia.NaoDesonerado)</f>
        <v>0</v>
      </c>
      <c r="Z121" s="132">
        <f ca="1">ROUND(IF(ISNUMBER(R121),R121,IF(LEFT(R121,3)="BDI",HLOOKUP(R121,DADOS!$T$37:$X$38,2,FALSE),0)),15-11*$X$5)</f>
        <v>0.206</v>
      </c>
      <c r="AA121" s="4"/>
    </row>
    <row r="122" spans="1:27" ht="26.4">
      <c r="A122" t="str">
        <f aca="true" t="shared" si="77" ref="A122:A173">CHOOSE(1+LOG(1+2*(J122="Meta")+4*(J122="Nível 2")+8*(J122="Nível 3")+16*(J122="Nível 4")+32*(J122="Serviço"),2),0,1,2,3,4,"S")</f>
        <v>S</v>
      </c>
      <c r="B122">
        <f aca="true" t="shared" si="78" ref="B122:B173">IF(OR(A122="S",A122=0),0,IF(ISERROR(I122),H122,SMALL(H122:I122,1)))</f>
        <v>0</v>
      </c>
      <c r="C122">
        <f aca="true" ca="1" t="shared" si="79" ref="C122:C173">IF($A122=1,OFFSET(C122,-1,0)+1,OFFSET(C122,-1,0))</f>
        <v>1</v>
      </c>
      <c r="D122">
        <f aca="true" ca="1" t="shared" si="80" ref="D122:D173">IF($A122=1,0,IF($A122=2,OFFSET(D122,-1,0)+1,OFFSET(D122,-1,0)))</f>
        <v>17</v>
      </c>
      <c r="E122">
        <f aca="true" ca="1" t="shared" si="81" ref="E122:E173">IF(AND($A122&lt;=2,$A122&lt;&gt;0),0,IF($A122=3,OFFSET(E122,-1,0)+1,OFFSET(E122,-1,0)))</f>
        <v>0</v>
      </c>
      <c r="F122">
        <f aca="true" ca="1" t="shared" si="82" ref="F122:F173">IF(AND($A122&lt;=3,$A122&lt;&gt;0),0,IF($A122=4,OFFSET(F122,-1,0)+1,OFFSET(F122,-1,0)))</f>
        <v>0</v>
      </c>
      <c r="G122">
        <f aca="true" ca="1" t="shared" si="83" ref="G122:G173">IF(AND($A122&lt;=4,$A122&lt;&gt;0),0,IF($A122="S",OFFSET(G122,-1,0)+1,OFFSET(G122,-1,0)))</f>
        <v>1</v>
      </c>
      <c r="H122">
        <f ca="1" t="shared" si="72"/>
        <v>0</v>
      </c>
      <c r="I122">
        <f ca="1" t="shared" si="73"/>
        <v>0</v>
      </c>
      <c r="J122" s="120" t="s">
        <v>103</v>
      </c>
      <c r="K122" s="162" t="str">
        <f aca="true" t="shared" si="84" ref="K122:K173">IF($A122=0,"-",CONCATENATE(C122&amp;".",IF(AND($A$5&gt;=2,$A122&gt;=2),D122&amp;".",""),IF(AND($A$5&gt;=3,$A122&gt;=3),E122&amp;".",""),IF(AND($A$5&gt;=4,$A122&gt;=4),F122&amp;".",""),IF($A122="S",G122&amp;".","")))</f>
        <v>1.17.1.</v>
      </c>
      <c r="L122" s="209" t="s">
        <v>228</v>
      </c>
      <c r="M122" s="209" t="s">
        <v>341</v>
      </c>
      <c r="N122" s="230" t="str">
        <f ca="1">IF($A122="S",Referencia.Descricao,"(digite a descrição aqui)")</f>
        <v>CAIXA D´ÁGUA EM POLIETILENO, 500 LITROS (INCLUSOS TUBOS, CONEXÕES E TORNEIRA DE BÓIA) - FORNECIMENTO E INSTALAÇÃO. AF_06/2021</v>
      </c>
      <c r="O122" s="229" t="str">
        <f ca="1">Referencia.Unidade</f>
        <v>UN</v>
      </c>
      <c r="P122" s="232">
        <f ca="1">OFFSET(PLQ!$E$12,ROW($P122)-ROW(P$12),0)</f>
        <v>13</v>
      </c>
      <c r="Q122" s="228">
        <v>731</v>
      </c>
      <c r="R122" s="231" t="s">
        <v>7</v>
      </c>
      <c r="S122" s="121">
        <f ca="1" t="shared" si="74"/>
        <v>881.59</v>
      </c>
      <c r="T122" s="98">
        <f ca="1" t="shared" si="75"/>
        <v>11460.67</v>
      </c>
      <c r="U122" s="13" t="str">
        <f aca="true" t="shared" si="85" ref="U122:U173">IF($J122="","",IF($N122="","DESCRIÇÃO",IF(AND($J122="Serviço",$O122=""),"UNIDADE",IF($T122&lt;=0,"SEM VALOR",IF(AND($Y122&lt;&gt;"",$Q122&gt;$Y122),"ACIMA REF.","")))))</f>
        <v/>
      </c>
      <c r="V122" s="4" t="str">
        <f ca="1">IF(OR($A122=0,$A122="S",$A122&gt;CFF!$A$9),"",MAX(V$12:OFFSET(V122,-1,0))+1)</f>
        <v/>
      </c>
      <c r="W122" s="9" t="str">
        <f aca="true" t="shared" si="86" ref="W122:W173">IF(AND($J122="Serviço",$M122&lt;&gt;""),IF($L122="",$M122,CONCATENATE($L122,"-",$M122)))</f>
        <v>Sinapi-102622</v>
      </c>
      <c r="X122" s="4">
        <f ca="1" t="shared" si="76"/>
        <v>5033</v>
      </c>
      <c r="Y122" s="121">
        <f ca="1">IF(Import.Desoneracao="sim",Referencia.Desonerado,Referencia.NaoDesonerado)</f>
        <v>731</v>
      </c>
      <c r="Z122" s="132">
        <f ca="1">ROUND(IF(ISNUMBER(R122),R122,IF(LEFT(R122,3)="BDI",HLOOKUP(R122,DADOS!$T$37:$X$38,2,FALSE),0)),15-11*$X$5)</f>
        <v>0.206</v>
      </c>
      <c r="AA122" s="4"/>
    </row>
    <row r="123" spans="1:27" ht="52.8">
      <c r="A123" t="str">
        <f t="shared" si="77"/>
        <v>S</v>
      </c>
      <c r="B123">
        <f t="shared" si="78"/>
        <v>0</v>
      </c>
      <c r="C123">
        <f ca="1" t="shared" si="79"/>
        <v>1</v>
      </c>
      <c r="D123">
        <f ca="1" t="shared" si="80"/>
        <v>17</v>
      </c>
      <c r="E123">
        <f ca="1" t="shared" si="81"/>
        <v>0</v>
      </c>
      <c r="F123">
        <f ca="1" t="shared" si="82"/>
        <v>0</v>
      </c>
      <c r="G123">
        <f ca="1" t="shared" si="83"/>
        <v>2</v>
      </c>
      <c r="H123">
        <f ca="1" t="shared" si="72"/>
        <v>0</v>
      </c>
      <c r="I123">
        <f ca="1" t="shared" si="73"/>
        <v>0</v>
      </c>
      <c r="J123" s="120" t="s">
        <v>103</v>
      </c>
      <c r="K123" s="162" t="str">
        <f ca="1" t="shared" si="84"/>
        <v>1.17.2.</v>
      </c>
      <c r="L123" s="209" t="s">
        <v>228</v>
      </c>
      <c r="M123" s="209" t="s">
        <v>342</v>
      </c>
      <c r="N123" s="230" t="str">
        <f ca="1">IF($A123="S",Referencia.Descricao,"(digite a descrição aqui)")</f>
        <v>(COMPOSIÇÃO REPRESENTATIVA) DO SERVIÇO DE INSTALAÇÃO DE TUBOS DE PVC, SOLDÁVEL, ÁGUA FRIA, DN 25 MM (INSTALADO EM RAMAL, SUB-RAMAL, RAMAL DE DISTRIBUIÇÃO OU PRUMADA), INCLUSIVE CONEXÕES, CORTES E FIXAÇÕES, PARA PRÉDIOS. AF_10/2015</v>
      </c>
      <c r="O123" s="229" t="str">
        <f ca="1">Referencia.Unidade</f>
        <v>M</v>
      </c>
      <c r="P123" s="232">
        <f ca="1">OFFSET(PLQ!$E$12,ROW($P123)-ROW(P$12),0)</f>
        <v>455</v>
      </c>
      <c r="Q123" s="228">
        <v>48.11</v>
      </c>
      <c r="R123" s="231" t="s">
        <v>7</v>
      </c>
      <c r="S123" s="121">
        <f ca="1" t="shared" si="74"/>
        <v>58.02</v>
      </c>
      <c r="T123" s="98">
        <f ca="1" t="shared" si="75"/>
        <v>26399.1</v>
      </c>
      <c r="U123" s="13" t="str">
        <f ca="1" t="shared" si="85"/>
        <v/>
      </c>
      <c r="V123" s="4" t="str">
        <f ca="1">IF(OR($A123=0,$A123="S",$A123&gt;CFF!$A$9),"",MAX(V$12:OFFSET(V123,-1,0))+1)</f>
        <v/>
      </c>
      <c r="W123" s="9" t="str">
        <f t="shared" si="86"/>
        <v>Sinapi-91785</v>
      </c>
      <c r="X123" s="4">
        <f ca="1" t="shared" si="76"/>
        <v>3476</v>
      </c>
      <c r="Y123" s="121">
        <f ca="1">IF(Import.Desoneracao="sim",Referencia.Desonerado,Referencia.NaoDesonerado)</f>
        <v>48.11</v>
      </c>
      <c r="Z123" s="132">
        <f ca="1">ROUND(IF(ISNUMBER(R123),R123,IF(LEFT(R123,3)="BDI",HLOOKUP(R123,DADOS!$T$37:$X$38,2,FALSE),0)),15-11*$X$5)</f>
        <v>0.206</v>
      </c>
      <c r="AA123" s="4"/>
    </row>
    <row r="124" spans="1:27" ht="26.4">
      <c r="A124" t="str">
        <f t="shared" si="77"/>
        <v>S</v>
      </c>
      <c r="B124">
        <f t="shared" si="78"/>
        <v>0</v>
      </c>
      <c r="C124">
        <f ca="1" t="shared" si="79"/>
        <v>1</v>
      </c>
      <c r="D124">
        <f ca="1" t="shared" si="80"/>
        <v>17</v>
      </c>
      <c r="E124">
        <f ca="1" t="shared" si="81"/>
        <v>0</v>
      </c>
      <c r="F124">
        <f ca="1" t="shared" si="82"/>
        <v>0</v>
      </c>
      <c r="G124">
        <f ca="1" t="shared" si="83"/>
        <v>3</v>
      </c>
      <c r="H124">
        <f ca="1" t="shared" si="72"/>
        <v>0</v>
      </c>
      <c r="I124">
        <f ca="1" t="shared" si="73"/>
        <v>0</v>
      </c>
      <c r="J124" s="120" t="s">
        <v>103</v>
      </c>
      <c r="K124" s="162" t="str">
        <f ca="1" t="shared" si="84"/>
        <v>1.17.3.</v>
      </c>
      <c r="L124" s="209" t="s">
        <v>228</v>
      </c>
      <c r="M124" s="209" t="s">
        <v>343</v>
      </c>
      <c r="N124" s="230" t="str">
        <f ca="1">IF($A124="S",Referencia.Descricao,"(digite a descrição aqui)")</f>
        <v>REGISTRO DE GAVETA BRUTO, LATÃO, ROSCÁVEL, 3/4" - FORNECIMENTO E INSTALAÇÃO. AF_08/2021</v>
      </c>
      <c r="O124" s="229" t="str">
        <f ca="1">Referencia.Unidade</f>
        <v>UN</v>
      </c>
      <c r="P124" s="232">
        <f ca="1">OFFSET(PLQ!$E$12,ROW($P124)-ROW(P$12),0)</f>
        <v>39</v>
      </c>
      <c r="Q124" s="228">
        <v>47.23</v>
      </c>
      <c r="R124" s="231" t="s">
        <v>7</v>
      </c>
      <c r="S124" s="121">
        <f ca="1" t="shared" si="74"/>
        <v>56.96</v>
      </c>
      <c r="T124" s="98">
        <f ca="1" t="shared" si="75"/>
        <v>2221.44</v>
      </c>
      <c r="U124" s="13" t="str">
        <f ca="1" t="shared" si="85"/>
        <v/>
      </c>
      <c r="V124" s="4" t="str">
        <f ca="1">IF(OR($A124=0,$A124="S",$A124&gt;CFF!$A$9),"",MAX(V$12:OFFSET(V124,-1,0))+1)</f>
        <v/>
      </c>
      <c r="W124" s="9" t="str">
        <f t="shared" si="86"/>
        <v>Sinapi-89353</v>
      </c>
      <c r="X124" s="4">
        <f ca="1" t="shared" si="76"/>
        <v>5205</v>
      </c>
      <c r="Y124" s="121">
        <f ca="1">IF(Import.Desoneracao="sim",Referencia.Desonerado,Referencia.NaoDesonerado)</f>
        <v>47.23</v>
      </c>
      <c r="Z124" s="132">
        <f ca="1">ROUND(IF(ISNUMBER(R124),R124,IF(LEFT(R124,3)="BDI",HLOOKUP(R124,DADOS!$T$37:$X$38,2,FALSE),0)),15-11*$X$5)</f>
        <v>0.206</v>
      </c>
      <c r="AA124" s="4"/>
    </row>
    <row r="125" spans="1:27" ht="26.4">
      <c r="A125" t="str">
        <f t="shared" si="77"/>
        <v>S</v>
      </c>
      <c r="B125">
        <f t="shared" si="78"/>
        <v>0</v>
      </c>
      <c r="C125">
        <f ca="1" t="shared" si="79"/>
        <v>1</v>
      </c>
      <c r="D125">
        <f ca="1" t="shared" si="80"/>
        <v>17</v>
      </c>
      <c r="E125">
        <f ca="1" t="shared" si="81"/>
        <v>0</v>
      </c>
      <c r="F125">
        <f ca="1" t="shared" si="82"/>
        <v>0</v>
      </c>
      <c r="G125">
        <f ca="1" t="shared" si="83"/>
        <v>4</v>
      </c>
      <c r="H125">
        <f ca="1" t="shared" si="72"/>
        <v>0</v>
      </c>
      <c r="I125">
        <f ca="1" t="shared" si="73"/>
        <v>0</v>
      </c>
      <c r="J125" s="120" t="s">
        <v>103</v>
      </c>
      <c r="K125" s="162" t="str">
        <f ca="1" t="shared" si="84"/>
        <v>1.17.4.</v>
      </c>
      <c r="L125" s="209" t="s">
        <v>228</v>
      </c>
      <c r="M125" s="209" t="s">
        <v>344</v>
      </c>
      <c r="N125" s="230" t="str">
        <f ca="1">IF($A125="S",Referencia.Descricao,"(digite a descrição aqui)")</f>
        <v>REGISTRO DE PRESSÃO BRUTO, LATÃO, ROSCÁVEL, 3/4", COM ACABAMENTO E CANOPLA CROMADOS - FORNECIMENTO E INSTALAÇÃO. AF_08/2021</v>
      </c>
      <c r="O125" s="229" t="str">
        <f ca="1">Referencia.Unidade</f>
        <v>UN</v>
      </c>
      <c r="P125" s="232">
        <f ca="1">OFFSET(PLQ!$E$12,ROW($P125)-ROW(P$12),0)</f>
        <v>13</v>
      </c>
      <c r="Q125" s="228">
        <v>106.82</v>
      </c>
      <c r="R125" s="231" t="s">
        <v>7</v>
      </c>
      <c r="S125" s="121">
        <f ca="1" t="shared" si="74"/>
        <v>128.82</v>
      </c>
      <c r="T125" s="98">
        <f ca="1" t="shared" si="75"/>
        <v>1674.66</v>
      </c>
      <c r="U125" s="13" t="str">
        <f ca="1" t="shared" si="85"/>
        <v/>
      </c>
      <c r="V125" s="4" t="str">
        <f ca="1">IF(OR($A125=0,$A125="S",$A125&gt;CFF!$A$9),"",MAX(V$12:OFFSET(V125,-1,0))+1)</f>
        <v/>
      </c>
      <c r="W125" s="9" t="str">
        <f t="shared" si="86"/>
        <v>Sinapi-89985</v>
      </c>
      <c r="X125" s="4">
        <f ca="1" t="shared" si="76"/>
        <v>5214</v>
      </c>
      <c r="Y125" s="121">
        <f ca="1">IF(Import.Desoneracao="sim",Referencia.Desonerado,Referencia.NaoDesonerado)</f>
        <v>106.82</v>
      </c>
      <c r="Z125" s="132">
        <f ca="1">ROUND(IF(ISNUMBER(R125),R125,IF(LEFT(R125,3)="BDI",HLOOKUP(R125,DADOS!$T$37:$X$38,2,FALSE),0)),15-11*$X$5)</f>
        <v>0.206</v>
      </c>
      <c r="AA125" s="4"/>
    </row>
    <row r="126" spans="1:27" ht="12.75">
      <c r="A126">
        <f t="shared" si="77"/>
        <v>2</v>
      </c>
      <c r="B126">
        <f ca="1" t="shared" si="78"/>
        <v>11</v>
      </c>
      <c r="C126">
        <f ca="1" t="shared" si="79"/>
        <v>1</v>
      </c>
      <c r="D126">
        <f ca="1" t="shared" si="80"/>
        <v>18</v>
      </c>
      <c r="E126">
        <f ca="1" t="shared" si="81"/>
        <v>0</v>
      </c>
      <c r="F126">
        <f ca="1" t="shared" si="82"/>
        <v>0</v>
      </c>
      <c r="G126">
        <f ca="1" t="shared" si="83"/>
        <v>0</v>
      </c>
      <c r="H126">
        <f ca="1" t="shared" si="72"/>
        <v>48</v>
      </c>
      <c r="I126">
        <f ca="1" t="shared" si="73"/>
        <v>11</v>
      </c>
      <c r="J126" s="120" t="s">
        <v>100</v>
      </c>
      <c r="K126" s="162" t="str">
        <f ca="1" t="shared" si="84"/>
        <v>1.18.</v>
      </c>
      <c r="L126" s="209"/>
      <c r="M126" s="209"/>
      <c r="N126" s="230" t="s">
        <v>345</v>
      </c>
      <c r="O126" s="229" t="str">
        <f ca="1">Referencia.Unidade</f>
        <v/>
      </c>
      <c r="P126" s="232">
        <f ca="1">OFFSET(PLQ!$E$12,ROW($P126)-ROW(P$12),0)</f>
        <v>0</v>
      </c>
      <c r="Q126" s="228"/>
      <c r="R126" s="231" t="s">
        <v>7</v>
      </c>
      <c r="S126" s="121">
        <f t="shared" si="74"/>
        <v>0</v>
      </c>
      <c r="T126" s="98">
        <f ca="1" t="shared" si="75"/>
        <v>137168.73</v>
      </c>
      <c r="U126" s="13" t="str">
        <f ca="1" t="shared" si="85"/>
        <v/>
      </c>
      <c r="V126" s="4">
        <f ca="1">IF(OR($A126=0,$A126="S",$A126&gt;CFF!$A$9),"",MAX(V$12:OFFSET(V126,-1,0))+1)</f>
        <v>19</v>
      </c>
      <c r="W126" s="9" t="b">
        <f t="shared" si="86"/>
        <v>0</v>
      </c>
      <c r="X126" s="4" t="str">
        <f ca="1" t="shared" si="76"/>
        <v>X</v>
      </c>
      <c r="Y126" s="121">
        <f ca="1">IF(Import.Desoneracao="sim",Referencia.Desonerado,Referencia.NaoDesonerado)</f>
        <v>0</v>
      </c>
      <c r="Z126" s="132">
        <f ca="1">ROUND(IF(ISNUMBER(R126),R126,IF(LEFT(R126,3)="BDI",HLOOKUP(R126,DADOS!$T$37:$X$38,2,FALSE),0)),15-11*$X$5)</f>
        <v>0.206</v>
      </c>
      <c r="AA126" s="4"/>
    </row>
    <row r="127" spans="1:27" ht="39.6">
      <c r="A127" t="str">
        <f t="shared" si="77"/>
        <v>S</v>
      </c>
      <c r="B127">
        <f t="shared" si="78"/>
        <v>0</v>
      </c>
      <c r="C127">
        <f ca="1" t="shared" si="79"/>
        <v>1</v>
      </c>
      <c r="D127">
        <f ca="1" t="shared" si="80"/>
        <v>18</v>
      </c>
      <c r="E127">
        <f ca="1" t="shared" si="81"/>
        <v>0</v>
      </c>
      <c r="F127">
        <f ca="1" t="shared" si="82"/>
        <v>0</v>
      </c>
      <c r="G127">
        <f ca="1" t="shared" si="83"/>
        <v>1</v>
      </c>
      <c r="H127">
        <f ca="1" t="shared" si="72"/>
        <v>0</v>
      </c>
      <c r="I127">
        <f ca="1" t="shared" si="73"/>
        <v>0</v>
      </c>
      <c r="J127" s="120" t="s">
        <v>103</v>
      </c>
      <c r="K127" s="162" t="str">
        <f ca="1" t="shared" si="84"/>
        <v>1.18.1.</v>
      </c>
      <c r="L127" s="209" t="s">
        <v>286</v>
      </c>
      <c r="M127" s="209" t="s">
        <v>346</v>
      </c>
      <c r="N127" s="230" t="str">
        <f ca="1">IF($A127="S",Referencia.Descricao,"(digite a descrição aqui)")</f>
        <v xml:space="preserve">FOSSA SEPTICA, SEM FILTRO, EM POLIETILENO DE ALTA DENSIDADE (PEAD), PARA 4 A 7 CONTRIBUINTES, CILINDRICA, COM TAMPA, CAPACIDADE APROXIMADA DE *1100* LITROS (NBR 7229)                                                                                                                                                                                                                                                                                                                                    </v>
      </c>
      <c r="O127" s="229" t="str">
        <f ca="1">Referencia.Unidade</f>
        <v xml:space="preserve">UN    </v>
      </c>
      <c r="P127" s="232">
        <f ca="1">OFFSET(PLQ!$E$12,ROW($P127)-ROW(P$12),0)</f>
        <v>13</v>
      </c>
      <c r="Q127" s="228">
        <v>1812.87</v>
      </c>
      <c r="R127" s="231" t="s">
        <v>8</v>
      </c>
      <c r="S127" s="121">
        <f ca="1" t="shared" si="74"/>
        <v>2041.65</v>
      </c>
      <c r="T127" s="98">
        <f ca="1" t="shared" si="75"/>
        <v>26541.45</v>
      </c>
      <c r="U127" s="13" t="str">
        <f ca="1" t="shared" si="85"/>
        <v/>
      </c>
      <c r="V127" s="4" t="str">
        <f ca="1">IF(OR($A127=0,$A127="S",$A127&gt;CFF!$A$9),"",MAX(V$12:OFFSET(V127,-1,0))+1)</f>
        <v/>
      </c>
      <c r="W127" s="9" t="str">
        <f t="shared" si="86"/>
        <v>Sinapi-i-39361</v>
      </c>
      <c r="X127" s="4">
        <f ca="1" t="shared" si="76"/>
        <v>9638</v>
      </c>
      <c r="Y127" s="121">
        <f ca="1">IF(Import.Desoneracao="sim",Referencia.Desonerado,Referencia.NaoDesonerado)</f>
        <v>1812.87</v>
      </c>
      <c r="Z127" s="132">
        <f ca="1">ROUND(IF(ISNUMBER(R127),R127,IF(LEFT(R127,3)="BDI",HLOOKUP(R127,DADOS!$T$37:$X$38,2,FALSE),0)),15-11*$X$5)</f>
        <v>0.1262</v>
      </c>
      <c r="AA127" s="4"/>
    </row>
    <row r="128" spans="1:27" ht="26.4">
      <c r="A128" t="str">
        <f t="shared" si="77"/>
        <v>S</v>
      </c>
      <c r="B128">
        <f t="shared" si="78"/>
        <v>0</v>
      </c>
      <c r="C128">
        <f ca="1" t="shared" si="79"/>
        <v>1</v>
      </c>
      <c r="D128">
        <f ca="1" t="shared" si="80"/>
        <v>18</v>
      </c>
      <c r="E128">
        <f ca="1" t="shared" si="81"/>
        <v>0</v>
      </c>
      <c r="F128">
        <f ca="1" t="shared" si="82"/>
        <v>0</v>
      </c>
      <c r="G128">
        <f ca="1" t="shared" si="83"/>
        <v>2</v>
      </c>
      <c r="H128">
        <f ca="1" t="shared" si="72"/>
        <v>0</v>
      </c>
      <c r="I128">
        <f ca="1" t="shared" si="73"/>
        <v>0</v>
      </c>
      <c r="J128" s="120" t="s">
        <v>103</v>
      </c>
      <c r="K128" s="162" t="str">
        <f ca="1" t="shared" si="84"/>
        <v>1.18.2.</v>
      </c>
      <c r="L128" s="209" t="s">
        <v>286</v>
      </c>
      <c r="M128" s="209" t="s">
        <v>347</v>
      </c>
      <c r="N128" s="230" t="str">
        <f ca="1">IF($A128="S",Referencia.Descricao,"(digite a descrição aqui)")</f>
        <v xml:space="preserve">FILTRO ANAEROBIO, EM POLIETILENO DE ALTA DENSIDADE (PEAD), CAPACIDADE *1100* LITROS (NBR 13969)                                                                                                                                                                                                                                                                                                                                                                                                           </v>
      </c>
      <c r="O128" s="229" t="str">
        <f ca="1">Referencia.Unidade</f>
        <v xml:space="preserve">UN    </v>
      </c>
      <c r="P128" s="232">
        <f ca="1">OFFSET(PLQ!$E$12,ROW($P128)-ROW(P$12),0)</f>
        <v>13</v>
      </c>
      <c r="Q128" s="228">
        <v>2013.12</v>
      </c>
      <c r="R128" s="231" t="s">
        <v>8</v>
      </c>
      <c r="S128" s="121">
        <f ca="1" t="shared" si="74"/>
        <v>2267.18</v>
      </c>
      <c r="T128" s="98">
        <f ca="1" t="shared" si="75"/>
        <v>29473.34</v>
      </c>
      <c r="U128" s="13" t="str">
        <f ca="1" t="shared" si="85"/>
        <v/>
      </c>
      <c r="V128" s="4" t="str">
        <f ca="1">IF(OR($A128=0,$A128="S",$A128&gt;CFF!$A$9),"",MAX(V$12:OFFSET(V128,-1,0))+1)</f>
        <v/>
      </c>
      <c r="W128" s="9" t="str">
        <f t="shared" si="86"/>
        <v>Sinapi-i-39365</v>
      </c>
      <c r="X128" s="4">
        <f ca="1" t="shared" si="76"/>
        <v>9583</v>
      </c>
      <c r="Y128" s="121">
        <f ca="1">IF(Import.Desoneracao="sim",Referencia.Desonerado,Referencia.NaoDesonerado)</f>
        <v>2013.12</v>
      </c>
      <c r="Z128" s="132">
        <f ca="1">ROUND(IF(ISNUMBER(R128),R128,IF(LEFT(R128,3)="BDI",HLOOKUP(R128,DADOS!$T$37:$X$38,2,FALSE),0)),15-11*$X$5)</f>
        <v>0.1262</v>
      </c>
      <c r="AA128" s="4"/>
    </row>
    <row r="129" spans="1:27" ht="39.6">
      <c r="A129" t="str">
        <f t="shared" si="77"/>
        <v>S</v>
      </c>
      <c r="B129">
        <f t="shared" si="78"/>
        <v>0</v>
      </c>
      <c r="C129">
        <f ca="1" t="shared" si="79"/>
        <v>1</v>
      </c>
      <c r="D129">
        <f ca="1" t="shared" si="80"/>
        <v>18</v>
      </c>
      <c r="E129">
        <f ca="1" t="shared" si="81"/>
        <v>0</v>
      </c>
      <c r="F129">
        <f ca="1" t="shared" si="82"/>
        <v>0</v>
      </c>
      <c r="G129">
        <f ca="1" t="shared" si="83"/>
        <v>3</v>
      </c>
      <c r="H129">
        <f ca="1" t="shared" si="72"/>
        <v>0</v>
      </c>
      <c r="I129">
        <f ca="1" t="shared" si="73"/>
        <v>0</v>
      </c>
      <c r="J129" s="120" t="s">
        <v>103</v>
      </c>
      <c r="K129" s="162" t="str">
        <f ca="1" t="shared" si="84"/>
        <v>1.18.3.</v>
      </c>
      <c r="L129" s="209" t="s">
        <v>228</v>
      </c>
      <c r="M129" s="209" t="s">
        <v>348</v>
      </c>
      <c r="N129" s="230" t="str">
        <f ca="1">IF($A129="S",Referencia.Descricao,"(digite a descrição aqui)")</f>
        <v>SUMIDOURO CIRCULAR, EM CONCRETO PRÉ-MOLDADO, DIÂMETRO INTERNO = 1,88 M, ALTURA INTERNA = 2,00 M, ÁREA DE INFILTRAÇÃO: 13,1 M² (PARA 5 CONTRIBUINTES). AF_12/2020_PA</v>
      </c>
      <c r="O129" s="229" t="str">
        <f ca="1">Referencia.Unidade</f>
        <v>UN</v>
      </c>
      <c r="P129" s="232">
        <f ca="1">OFFSET(PLQ!$E$12,ROW($P129)-ROW(P$12),0)</f>
        <v>13</v>
      </c>
      <c r="Q129" s="228">
        <v>3036.49</v>
      </c>
      <c r="R129" s="231" t="s">
        <v>7</v>
      </c>
      <c r="S129" s="121">
        <f ca="1" t="shared" si="74"/>
        <v>3662.01</v>
      </c>
      <c r="T129" s="98">
        <f ca="1" t="shared" si="75"/>
        <v>47606.13</v>
      </c>
      <c r="U129" s="13" t="str">
        <f ca="1" t="shared" si="85"/>
        <v/>
      </c>
      <c r="V129" s="4" t="str">
        <f ca="1">IF(OR($A129=0,$A129="S",$A129&gt;CFF!$A$9),"",MAX(V$12:OFFSET(V129,-1,0))+1)</f>
        <v/>
      </c>
      <c r="W129" s="9" t="str">
        <f t="shared" si="86"/>
        <v>Sinapi-98062</v>
      </c>
      <c r="X129" s="4">
        <f ca="1" t="shared" si="76"/>
        <v>5158</v>
      </c>
      <c r="Y129" s="121">
        <f ca="1">IF(Import.Desoneracao="sim",Referencia.Desonerado,Referencia.NaoDesonerado)</f>
        <v>3036.49</v>
      </c>
      <c r="Z129" s="132">
        <f ca="1">ROUND(IF(ISNUMBER(R129),R129,IF(LEFT(R129,3)="BDI",HLOOKUP(R129,DADOS!$T$37:$X$38,2,FALSE),0)),15-11*$X$5)</f>
        <v>0.206</v>
      </c>
      <c r="AA129" s="4"/>
    </row>
    <row r="130" spans="1:27" ht="52.8">
      <c r="A130" t="str">
        <f t="shared" si="77"/>
        <v>S</v>
      </c>
      <c r="B130">
        <f t="shared" si="78"/>
        <v>0</v>
      </c>
      <c r="C130">
        <f ca="1" t="shared" si="79"/>
        <v>1</v>
      </c>
      <c r="D130">
        <f ca="1" t="shared" si="80"/>
        <v>18</v>
      </c>
      <c r="E130">
        <f ca="1" t="shared" si="81"/>
        <v>0</v>
      </c>
      <c r="F130">
        <f ca="1" t="shared" si="82"/>
        <v>0</v>
      </c>
      <c r="G130">
        <f ca="1" t="shared" si="83"/>
        <v>4</v>
      </c>
      <c r="H130">
        <f ca="1" t="shared" si="72"/>
        <v>0</v>
      </c>
      <c r="I130">
        <f ca="1" t="shared" si="73"/>
        <v>0</v>
      </c>
      <c r="J130" s="120" t="s">
        <v>103</v>
      </c>
      <c r="K130" s="162" t="str">
        <f ca="1" t="shared" si="84"/>
        <v>1.18.4.</v>
      </c>
      <c r="L130" s="209" t="s">
        <v>228</v>
      </c>
      <c r="M130" s="209" t="s">
        <v>349</v>
      </c>
      <c r="N130" s="230" t="str">
        <f ca="1">IF($A130="S",Referencia.Descricao,"(digite a descrição aqui)")</f>
        <v>(COMPOSIÇÃO REPRESENTATIVA) DO SERVIÇO DE INSTALAÇÃO DE TUBO DE PVC, SÉRIE NORMAL, ESGOTO PREDIAL, DN 40 MM (INSTALADO EM RAMAL DE DESCARGA OU RAMAL DE ESGOTO SANITÁRIO), INCLUSIVE CONEXÕES, CORTES E FIXAÇÕES, PARA PRÉDIOS. AF_10/2015</v>
      </c>
      <c r="O130" s="229" t="str">
        <f ca="1">Referencia.Unidade</f>
        <v>M</v>
      </c>
      <c r="P130" s="232">
        <f ca="1">OFFSET(PLQ!$E$12,ROW($P130)-ROW(P$12),0)</f>
        <v>35.1</v>
      </c>
      <c r="Q130" s="228">
        <v>67.85</v>
      </c>
      <c r="R130" s="231" t="s">
        <v>7</v>
      </c>
      <c r="S130" s="121">
        <f ca="1" t="shared" si="74"/>
        <v>81.83</v>
      </c>
      <c r="T130" s="98">
        <f ca="1" t="shared" si="75"/>
        <v>2872.23</v>
      </c>
      <c r="U130" s="13" t="str">
        <f ca="1" t="shared" si="85"/>
        <v/>
      </c>
      <c r="V130" s="4" t="str">
        <f ca="1">IF(OR($A130=0,$A130="S",$A130&gt;CFF!$A$9),"",MAX(V$12:OFFSET(V130,-1,0))+1)</f>
        <v/>
      </c>
      <c r="W130" s="9" t="str">
        <f t="shared" si="86"/>
        <v>Sinapi-91792</v>
      </c>
      <c r="X130" s="4">
        <f ca="1" t="shared" si="76"/>
        <v>3483</v>
      </c>
      <c r="Y130" s="121">
        <f ca="1">IF(Import.Desoneracao="sim",Referencia.Desonerado,Referencia.NaoDesonerado)</f>
        <v>67.85</v>
      </c>
      <c r="Z130" s="132">
        <f ca="1">ROUND(IF(ISNUMBER(R130),R130,IF(LEFT(R130,3)="BDI",HLOOKUP(R130,DADOS!$T$37:$X$38,2,FALSE),0)),15-11*$X$5)</f>
        <v>0.206</v>
      </c>
      <c r="AA130" s="4"/>
    </row>
    <row r="131" spans="1:27" ht="52.8">
      <c r="A131" t="str">
        <f t="shared" si="77"/>
        <v>S</v>
      </c>
      <c r="B131">
        <f t="shared" si="78"/>
        <v>0</v>
      </c>
      <c r="C131">
        <f ca="1" t="shared" si="79"/>
        <v>1</v>
      </c>
      <c r="D131">
        <f ca="1" t="shared" si="80"/>
        <v>18</v>
      </c>
      <c r="E131">
        <f ca="1" t="shared" si="81"/>
        <v>0</v>
      </c>
      <c r="F131">
        <f ca="1" t="shared" si="82"/>
        <v>0</v>
      </c>
      <c r="G131">
        <f ca="1" t="shared" si="83"/>
        <v>5</v>
      </c>
      <c r="H131">
        <f ca="1" t="shared" si="72"/>
        <v>0</v>
      </c>
      <c r="I131">
        <f ca="1" t="shared" si="73"/>
        <v>0</v>
      </c>
      <c r="J131" s="120" t="s">
        <v>103</v>
      </c>
      <c r="K131" s="162" t="str">
        <f ca="1" t="shared" si="84"/>
        <v>1.18.5.</v>
      </c>
      <c r="L131" s="209" t="s">
        <v>228</v>
      </c>
      <c r="M131" s="209" t="s">
        <v>350</v>
      </c>
      <c r="N131" s="230" t="str">
        <f ca="1">IF($A131="S",Referencia.Descricao,"(digite a descrição aqui)")</f>
        <v>(COMPOSIÇÃO REPRESENTATIVA) DO SERVIÇO DE INSTALAÇÃO DE TUBO DE PVC, SÉRIE NORMAL, ESGOTO PREDIAL, DN 50 MM (INSTALADO EM RAMAL DE DESCARGA OU RAMAL DE ESGOTO SANITÁRIO), INCLUSIVE CONEXÕES, CORTES E FIXAÇÕES PARA, PRÉDIOS. AF_10/2015</v>
      </c>
      <c r="O131" s="229" t="str">
        <f ca="1">Referencia.Unidade</f>
        <v>M</v>
      </c>
      <c r="P131" s="232">
        <f ca="1">OFFSET(PLQ!$E$12,ROW($P131)-ROW(P$12),0)</f>
        <v>78</v>
      </c>
      <c r="Q131" s="228">
        <v>103.42</v>
      </c>
      <c r="R131" s="231" t="s">
        <v>7</v>
      </c>
      <c r="S131" s="121">
        <f ca="1" t="shared" si="74"/>
        <v>124.72</v>
      </c>
      <c r="T131" s="98">
        <f ca="1" t="shared" si="75"/>
        <v>9728.16</v>
      </c>
      <c r="U131" s="13" t="str">
        <f ca="1" t="shared" si="85"/>
        <v/>
      </c>
      <c r="V131" s="4" t="str">
        <f ca="1">IF(OR($A131=0,$A131="S",$A131&gt;CFF!$A$9),"",MAX(V$12:OFFSET(V131,-1,0))+1)</f>
        <v/>
      </c>
      <c r="W131" s="9" t="str">
        <f t="shared" si="86"/>
        <v>Sinapi-91793</v>
      </c>
      <c r="X131" s="4">
        <f ca="1" t="shared" si="76"/>
        <v>3484</v>
      </c>
      <c r="Y131" s="121">
        <f ca="1">IF(Import.Desoneracao="sim",Referencia.Desonerado,Referencia.NaoDesonerado)</f>
        <v>103.42</v>
      </c>
      <c r="Z131" s="132">
        <f ca="1">ROUND(IF(ISNUMBER(R131),R131,IF(LEFT(R131,3)="BDI",HLOOKUP(R131,DADOS!$T$37:$X$38,2,FALSE),0)),15-11*$X$5)</f>
        <v>0.206</v>
      </c>
      <c r="AA131" s="4"/>
    </row>
    <row r="132" spans="1:27" ht="52.8">
      <c r="A132" t="str">
        <f t="shared" si="77"/>
        <v>S</v>
      </c>
      <c r="B132">
        <f t="shared" si="78"/>
        <v>0</v>
      </c>
      <c r="C132">
        <f ca="1" t="shared" si="79"/>
        <v>1</v>
      </c>
      <c r="D132">
        <f ca="1" t="shared" si="80"/>
        <v>18</v>
      </c>
      <c r="E132">
        <f ca="1" t="shared" si="81"/>
        <v>0</v>
      </c>
      <c r="F132">
        <f ca="1" t="shared" si="82"/>
        <v>0</v>
      </c>
      <c r="G132">
        <f ca="1" t="shared" si="83"/>
        <v>6</v>
      </c>
      <c r="H132">
        <f ca="1" t="shared" si="72"/>
        <v>0</v>
      </c>
      <c r="I132">
        <f ca="1" t="shared" si="73"/>
        <v>0</v>
      </c>
      <c r="J132" s="120" t="s">
        <v>103</v>
      </c>
      <c r="K132" s="162" t="str">
        <f ca="1" t="shared" si="84"/>
        <v>1.18.6.</v>
      </c>
      <c r="L132" s="209" t="s">
        <v>228</v>
      </c>
      <c r="M132" s="209" t="s">
        <v>351</v>
      </c>
      <c r="N132" s="230" t="str">
        <f ca="1">IF($A132="S",Referencia.Descricao,"(digite a descrição aqui)")</f>
        <v>(COMPOSIÇÃO REPRESENTATIVA) DO SERVIÇO DE INST. TUBO PVC, SÉRIE N, ESGOTO PREDIAL, 100 MM (INST. RAMAL DESCARGA, RAMAL DE ESG. SANIT., PRUMADA ESG. SANIT., VENTILAÇÃO OU SUB-COLETOR AÉREO), INCL. CONEXÕES E CORTES, FIXAÇÕES, P/ PRÉDIOS. AF_10/2015</v>
      </c>
      <c r="O132" s="229" t="str">
        <f ca="1">Referencia.Unidade</f>
        <v>M</v>
      </c>
      <c r="P132" s="232">
        <f ca="1">OFFSET(PLQ!$E$12,ROW($P132)-ROW(P$12),0)</f>
        <v>91</v>
      </c>
      <c r="Q132" s="228">
        <v>76.68</v>
      </c>
      <c r="R132" s="231" t="s">
        <v>7</v>
      </c>
      <c r="S132" s="121">
        <f ca="1" t="shared" si="74"/>
        <v>92.48</v>
      </c>
      <c r="T132" s="98">
        <f ca="1" t="shared" si="75"/>
        <v>8415.68</v>
      </c>
      <c r="U132" s="13" t="str">
        <f ca="1" t="shared" si="85"/>
        <v/>
      </c>
      <c r="V132" s="4" t="str">
        <f ca="1">IF(OR($A132=0,$A132="S",$A132&gt;CFF!$A$9),"",MAX(V$12:OFFSET(V132,-1,0))+1)</f>
        <v/>
      </c>
      <c r="W132" s="9" t="str">
        <f t="shared" si="86"/>
        <v>Sinapi-91795</v>
      </c>
      <c r="X132" s="4">
        <f ca="1" t="shared" si="76"/>
        <v>3486</v>
      </c>
      <c r="Y132" s="121">
        <f ca="1">IF(Import.Desoneracao="sim",Referencia.Desonerado,Referencia.NaoDesonerado)</f>
        <v>76.68</v>
      </c>
      <c r="Z132" s="132">
        <f ca="1">ROUND(IF(ISNUMBER(R132),R132,IF(LEFT(R132,3)="BDI",HLOOKUP(R132,DADOS!$T$37:$X$38,2,FALSE),0)),15-11*$X$5)</f>
        <v>0.206</v>
      </c>
      <c r="AA132" s="4"/>
    </row>
    <row r="133" spans="1:27" ht="39.6">
      <c r="A133" t="str">
        <f t="shared" si="77"/>
        <v>S</v>
      </c>
      <c r="B133">
        <f t="shared" si="78"/>
        <v>0</v>
      </c>
      <c r="C133">
        <f ca="1" t="shared" si="79"/>
        <v>1</v>
      </c>
      <c r="D133">
        <f ca="1" t="shared" si="80"/>
        <v>18</v>
      </c>
      <c r="E133">
        <f ca="1" t="shared" si="81"/>
        <v>0</v>
      </c>
      <c r="F133">
        <f ca="1" t="shared" si="82"/>
        <v>0</v>
      </c>
      <c r="G133">
        <f ca="1" t="shared" si="83"/>
        <v>7</v>
      </c>
      <c r="H133">
        <f ca="1" t="shared" si="72"/>
        <v>0</v>
      </c>
      <c r="I133">
        <f ca="1" t="shared" si="73"/>
        <v>0</v>
      </c>
      <c r="J133" s="120" t="s">
        <v>103</v>
      </c>
      <c r="K133" s="162" t="str">
        <f ca="1" t="shared" si="84"/>
        <v>1.18.7.</v>
      </c>
      <c r="L133" s="209" t="s">
        <v>228</v>
      </c>
      <c r="M133" s="209" t="s">
        <v>352</v>
      </c>
      <c r="N133" s="230" t="str">
        <f ca="1">IF($A133="S",Referencia.Descricao,"(digite a descrição aqui)")</f>
        <v>RALO SIFONADO REDONDO, PVC, DN 100 X 40 MM, JUNTA SOLDÁVEL, FORNECIDO E INSTALADO EM RAMAL DE DESCARGA OU EM RAMAL DE ESGOTO SANITÁRIO. AF_08/2022</v>
      </c>
      <c r="O133" s="229" t="str">
        <f ca="1">Referencia.Unidade</f>
        <v>UN</v>
      </c>
      <c r="P133" s="232">
        <f ca="1">OFFSET(PLQ!$E$12,ROW($P133)-ROW(P$12),0)</f>
        <v>26</v>
      </c>
      <c r="Q133" s="228">
        <v>20.35</v>
      </c>
      <c r="R133" s="231" t="s">
        <v>7</v>
      </c>
      <c r="S133" s="121">
        <f ca="1" t="shared" si="74"/>
        <v>24.54</v>
      </c>
      <c r="T133" s="98">
        <f ca="1" t="shared" si="75"/>
        <v>638.04</v>
      </c>
      <c r="U133" s="13" t="str">
        <f ca="1" t="shared" si="85"/>
        <v/>
      </c>
      <c r="V133" s="4" t="str">
        <f ca="1">IF(OR($A133=0,$A133="S",$A133&gt;CFF!$A$9),"",MAX(V$12:OFFSET(V133,-1,0))+1)</f>
        <v/>
      </c>
      <c r="W133" s="9" t="str">
        <f t="shared" si="86"/>
        <v>Sinapi-104327</v>
      </c>
      <c r="X133" s="4">
        <f ca="1" t="shared" si="76"/>
        <v>5043</v>
      </c>
      <c r="Y133" s="121">
        <f ca="1">IF(Import.Desoneracao="sim",Referencia.Desonerado,Referencia.NaoDesonerado)</f>
        <v>20.35</v>
      </c>
      <c r="Z133" s="132">
        <f ca="1">ROUND(IF(ISNUMBER(R133),R133,IF(LEFT(R133,3)="BDI",HLOOKUP(R133,DADOS!$T$37:$X$38,2,FALSE),0)),15-11*$X$5)</f>
        <v>0.206</v>
      </c>
      <c r="AA133" s="4"/>
    </row>
    <row r="134" spans="1:27" ht="26.4">
      <c r="A134" t="str">
        <f t="shared" si="77"/>
        <v>S</v>
      </c>
      <c r="B134">
        <f t="shared" si="78"/>
        <v>0</v>
      </c>
      <c r="C134">
        <f ca="1" t="shared" si="79"/>
        <v>1</v>
      </c>
      <c r="D134">
        <f ca="1" t="shared" si="80"/>
        <v>18</v>
      </c>
      <c r="E134">
        <f ca="1" t="shared" si="81"/>
        <v>0</v>
      </c>
      <c r="F134">
        <f ca="1" t="shared" si="82"/>
        <v>0</v>
      </c>
      <c r="G134">
        <f ca="1" t="shared" si="83"/>
        <v>8</v>
      </c>
      <c r="H134">
        <f ca="1" t="shared" si="72"/>
        <v>0</v>
      </c>
      <c r="I134">
        <f ca="1" t="shared" si="73"/>
        <v>0</v>
      </c>
      <c r="J134" s="120" t="s">
        <v>103</v>
      </c>
      <c r="K134" s="162" t="str">
        <f ca="1" t="shared" si="84"/>
        <v>1.18.8.</v>
      </c>
      <c r="L134" s="209" t="s">
        <v>286</v>
      </c>
      <c r="M134" s="209" t="s">
        <v>369</v>
      </c>
      <c r="N134" s="230" t="str">
        <f ca="1">IF($A134="S",Referencia.Descricao,"(digite a descrição aqui)")</f>
        <v xml:space="preserve">CAIXA DE CONCRETO ARMADO PRE-MOLDADO, COM FUNDO E TAMPA, DIMENSOES DE 0,40 X 0,40 X 0,40 M                                                                                                                                                                                                                                                                                                                                                                                                                </v>
      </c>
      <c r="O134" s="229" t="str">
        <f ca="1">Referencia.Unidade</f>
        <v xml:space="preserve">UN    </v>
      </c>
      <c r="P134" s="232">
        <f ca="1">OFFSET(PLQ!$E$12,ROW($P134)-ROW(P$12),0)</f>
        <v>26</v>
      </c>
      <c r="Q134" s="228">
        <v>320.92</v>
      </c>
      <c r="R134" s="231" t="s">
        <v>8</v>
      </c>
      <c r="S134" s="121">
        <f ca="1" t="shared" si="74"/>
        <v>361.42</v>
      </c>
      <c r="T134" s="98">
        <f ca="1" t="shared" si="75"/>
        <v>9396.92</v>
      </c>
      <c r="U134" s="13" t="str">
        <f ca="1" t="shared" si="85"/>
        <v/>
      </c>
      <c r="V134" s="4" t="str">
        <f ca="1">IF(OR($A134=0,$A134="S",$A134&gt;CFF!$A$9),"",MAX(V$12:OFFSET(V134,-1,0))+1)</f>
        <v/>
      </c>
      <c r="W134" s="9" t="str">
        <f t="shared" si="86"/>
        <v>Sinapi-i-41628</v>
      </c>
      <c r="X134" s="4">
        <f ca="1" t="shared" si="76"/>
        <v>8364</v>
      </c>
      <c r="Y134" s="121">
        <f ca="1">IF(Import.Desoneracao="sim",Referencia.Desonerado,Referencia.NaoDesonerado)</f>
        <v>320.92</v>
      </c>
      <c r="Z134" s="132">
        <f ca="1">ROUND(IF(ISNUMBER(R134),R134,IF(LEFT(R134,3)="BDI",HLOOKUP(R134,DADOS!$T$37:$X$38,2,FALSE),0)),15-11*$X$5)</f>
        <v>0.1262</v>
      </c>
      <c r="AA134" s="4"/>
    </row>
    <row r="135" spans="1:27" ht="26.4">
      <c r="A135" t="str">
        <f t="shared" si="77"/>
        <v>S</v>
      </c>
      <c r="B135">
        <f t="shared" si="78"/>
        <v>0</v>
      </c>
      <c r="C135">
        <f ca="1" t="shared" si="79"/>
        <v>1</v>
      </c>
      <c r="D135">
        <f ca="1" t="shared" si="80"/>
        <v>18</v>
      </c>
      <c r="E135">
        <f ca="1" t="shared" si="81"/>
        <v>0</v>
      </c>
      <c r="F135">
        <f ca="1" t="shared" si="82"/>
        <v>0</v>
      </c>
      <c r="G135">
        <f ca="1" t="shared" si="83"/>
        <v>9</v>
      </c>
      <c r="H135">
        <f ca="1" t="shared" si="72"/>
        <v>0</v>
      </c>
      <c r="I135">
        <f ca="1" t="shared" si="73"/>
        <v>0</v>
      </c>
      <c r="J135" s="120" t="s">
        <v>103</v>
      </c>
      <c r="K135" s="162" t="str">
        <f ca="1" t="shared" si="84"/>
        <v>1.18.9.</v>
      </c>
      <c r="L135" s="209" t="s">
        <v>286</v>
      </c>
      <c r="M135" s="209" t="s">
        <v>370</v>
      </c>
      <c r="N135" s="230" t="str">
        <f ca="1">IF($A135="S",Referencia.Descricao,"(digite a descrição aqui)")</f>
        <v xml:space="preserve">CAIXA DE GORDURA CILINDRICA EM CONCRETO SIMPLES,  PRE-MOLDADA, COM DIAMETRO DE 40 CM E ALTURA DE 45 CM, COM TAMPA                                                                                                                                                                                                                                                                                                                                                                                         </v>
      </c>
      <c r="O135" s="229" t="str">
        <f ca="1">Referencia.Unidade</f>
        <v xml:space="preserve">UN    </v>
      </c>
      <c r="P135" s="232">
        <f ca="1">OFFSET(PLQ!$E$12,ROW($P135)-ROW(P$12),0)</f>
        <v>13</v>
      </c>
      <c r="Q135" s="228">
        <v>160.46</v>
      </c>
      <c r="R135" s="231" t="s">
        <v>8</v>
      </c>
      <c r="S135" s="121">
        <f ca="1" t="shared" si="74"/>
        <v>180.71</v>
      </c>
      <c r="T135" s="98">
        <f ca="1" t="shared" si="75"/>
        <v>2349.23</v>
      </c>
      <c r="U135" s="13" t="str">
        <f ca="1" t="shared" si="85"/>
        <v/>
      </c>
      <c r="V135" s="4" t="str">
        <f ca="1">IF(OR($A135=0,$A135="S",$A135&gt;CFF!$A$9),"",MAX(V$12:OFFSET(V135,-1,0))+1)</f>
        <v/>
      </c>
      <c r="W135" s="9" t="str">
        <f t="shared" si="86"/>
        <v>Sinapi-i-11881</v>
      </c>
      <c r="X135" s="4">
        <f ca="1" t="shared" si="76"/>
        <v>8375</v>
      </c>
      <c r="Y135" s="121">
        <f ca="1">IF(Import.Desoneracao="sim",Referencia.Desonerado,Referencia.NaoDesonerado)</f>
        <v>160.46</v>
      </c>
      <c r="Z135" s="132">
        <f ca="1">ROUND(IF(ISNUMBER(R135),R135,IF(LEFT(R135,3)="BDI",HLOOKUP(R135,DADOS!$T$37:$X$38,2,FALSE),0)),15-11*$X$5)</f>
        <v>0.1262</v>
      </c>
      <c r="AA135" s="4"/>
    </row>
    <row r="136" spans="1:27" ht="12.75">
      <c r="A136" t="str">
        <f t="shared" si="77"/>
        <v>S</v>
      </c>
      <c r="B136">
        <f t="shared" si="78"/>
        <v>0</v>
      </c>
      <c r="C136">
        <f ca="1" t="shared" si="79"/>
        <v>1</v>
      </c>
      <c r="D136">
        <f ca="1" t="shared" si="80"/>
        <v>18</v>
      </c>
      <c r="E136">
        <f ca="1" t="shared" si="81"/>
        <v>0</v>
      </c>
      <c r="F136">
        <f ca="1" t="shared" si="82"/>
        <v>0</v>
      </c>
      <c r="G136">
        <f ca="1" t="shared" si="83"/>
        <v>10</v>
      </c>
      <c r="H136">
        <f ca="1" t="shared" si="72"/>
        <v>0</v>
      </c>
      <c r="I136">
        <f ca="1" t="shared" si="73"/>
        <v>0</v>
      </c>
      <c r="J136" s="120" t="s">
        <v>103</v>
      </c>
      <c r="K136" s="162" t="str">
        <f ca="1" t="shared" si="84"/>
        <v>1.18.10.</v>
      </c>
      <c r="L136" s="209" t="s">
        <v>286</v>
      </c>
      <c r="M136" s="209" t="s">
        <v>371</v>
      </c>
      <c r="N136" s="230" t="str">
        <f ca="1">IF($A136="S",Referencia.Descricao,"(digite a descrição aqui)")</f>
        <v xml:space="preserve">RALO SECO CONICO, PVC, 100 X 40 MM,  COM GRELHA REDONDA BRANCA                                                                                                                                                                                                                                                                                                                                                                                                                                            </v>
      </c>
      <c r="O136" s="229" t="str">
        <f ca="1">Referencia.Unidade</f>
        <v xml:space="preserve">UN    </v>
      </c>
      <c r="P136" s="232">
        <f ca="1">OFFSET(PLQ!$E$12,ROW($P136)-ROW(P$12),0)</f>
        <v>13</v>
      </c>
      <c r="Q136" s="228">
        <v>10.08</v>
      </c>
      <c r="R136" s="231" t="s">
        <v>8</v>
      </c>
      <c r="S136" s="121">
        <f ca="1" t="shared" si="74"/>
        <v>11.35</v>
      </c>
      <c r="T136" s="98">
        <f ca="1" t="shared" si="75"/>
        <v>147.55</v>
      </c>
      <c r="U136" s="13" t="str">
        <f ca="1" t="shared" si="85"/>
        <v/>
      </c>
      <c r="V136" s="4" t="str">
        <f ca="1">IF(OR($A136=0,$A136="S",$A136&gt;CFF!$A$9),"",MAX(V$12:OFFSET(V136,-1,0))+1)</f>
        <v/>
      </c>
      <c r="W136" s="9" t="str">
        <f t="shared" si="86"/>
        <v>Sinapi-i-11739</v>
      </c>
      <c r="X136" s="4">
        <f ca="1" t="shared" si="76"/>
        <v>11229</v>
      </c>
      <c r="Y136" s="121">
        <f ca="1">IF(Import.Desoneracao="sim",Referencia.Desonerado,Referencia.NaoDesonerado)</f>
        <v>10.08</v>
      </c>
      <c r="Z136" s="132">
        <f ca="1">ROUND(IF(ISNUMBER(R136),R136,IF(LEFT(R136,3)="BDI",HLOOKUP(R136,DADOS!$T$37:$X$38,2,FALSE),0)),15-11*$X$5)</f>
        <v>0.1262</v>
      </c>
      <c r="AA136" s="4"/>
    </row>
    <row r="137" spans="1:27" ht="12.75">
      <c r="A137">
        <f t="shared" si="77"/>
        <v>2</v>
      </c>
      <c r="B137">
        <f ca="1" t="shared" si="78"/>
        <v>15</v>
      </c>
      <c r="C137">
        <f ca="1" t="shared" si="79"/>
        <v>1</v>
      </c>
      <c r="D137">
        <f ca="1" t="shared" si="80"/>
        <v>19</v>
      </c>
      <c r="E137">
        <f ca="1" t="shared" si="81"/>
        <v>0</v>
      </c>
      <c r="F137">
        <f ca="1" t="shared" si="82"/>
        <v>0</v>
      </c>
      <c r="G137">
        <f ca="1" t="shared" si="83"/>
        <v>0</v>
      </c>
      <c r="H137">
        <f ca="1" t="shared" si="72"/>
        <v>37</v>
      </c>
      <c r="I137">
        <f ca="1" t="shared" si="73"/>
        <v>15</v>
      </c>
      <c r="J137" s="120" t="s">
        <v>100</v>
      </c>
      <c r="K137" s="162" t="str">
        <f ca="1" t="shared" si="84"/>
        <v>1.19.</v>
      </c>
      <c r="L137" s="209"/>
      <c r="M137" s="209"/>
      <c r="N137" s="230" t="s">
        <v>330</v>
      </c>
      <c r="O137" s="229" t="str">
        <f ca="1">Referencia.Unidade</f>
        <v/>
      </c>
      <c r="P137" s="232">
        <f ca="1">OFFSET(PLQ!$E$12,ROW($P137)-ROW(P$12),0)</f>
        <v>0</v>
      </c>
      <c r="Q137" s="228"/>
      <c r="R137" s="231" t="s">
        <v>7</v>
      </c>
      <c r="S137" s="121">
        <f t="shared" si="74"/>
        <v>0</v>
      </c>
      <c r="T137" s="98">
        <f ca="1" t="shared" si="75"/>
        <v>65855.01</v>
      </c>
      <c r="U137" s="13" t="str">
        <f ca="1" t="shared" si="85"/>
        <v/>
      </c>
      <c r="V137" s="4">
        <f ca="1">IF(OR($A137=0,$A137="S",$A137&gt;CFF!$A$9),"",MAX(V$12:OFFSET(V137,-1,0))+1)</f>
        <v>20</v>
      </c>
      <c r="W137" s="9" t="b">
        <f t="shared" si="86"/>
        <v>0</v>
      </c>
      <c r="X137" s="4" t="str">
        <f ca="1" t="shared" si="76"/>
        <v>X</v>
      </c>
      <c r="Y137" s="121">
        <f ca="1">IF(Import.Desoneracao="sim",Referencia.Desonerado,Referencia.NaoDesonerado)</f>
        <v>0</v>
      </c>
      <c r="Z137" s="132">
        <f ca="1">ROUND(IF(ISNUMBER(R137),R137,IF(LEFT(R137,3)="BDI",HLOOKUP(R137,DADOS!$T$37:$X$38,2,FALSE),0)),15-11*$X$5)</f>
        <v>0.206</v>
      </c>
      <c r="AA137" s="4"/>
    </row>
    <row r="138" spans="1:27" ht="39.6">
      <c r="A138" t="str">
        <f t="shared" si="77"/>
        <v>S</v>
      </c>
      <c r="B138">
        <f t="shared" si="78"/>
        <v>0</v>
      </c>
      <c r="C138">
        <f ca="1" t="shared" si="79"/>
        <v>1</v>
      </c>
      <c r="D138">
        <f ca="1" t="shared" si="80"/>
        <v>19</v>
      </c>
      <c r="E138">
        <f ca="1" t="shared" si="81"/>
        <v>0</v>
      </c>
      <c r="F138">
        <f ca="1" t="shared" si="82"/>
        <v>0</v>
      </c>
      <c r="G138">
        <f ca="1" t="shared" si="83"/>
        <v>1</v>
      </c>
      <c r="H138">
        <f ca="1" t="shared" si="72"/>
        <v>0</v>
      </c>
      <c r="I138">
        <f ca="1" t="shared" si="73"/>
        <v>0</v>
      </c>
      <c r="J138" s="120" t="s">
        <v>103</v>
      </c>
      <c r="K138" s="162" t="str">
        <f ca="1" t="shared" si="84"/>
        <v>1.19.1.</v>
      </c>
      <c r="L138" s="209" t="s">
        <v>228</v>
      </c>
      <c r="M138" s="209" t="s">
        <v>335</v>
      </c>
      <c r="N138" s="230" t="str">
        <f ca="1">IF($A138="S",Referencia.Descricao,"(digite a descrição aqui)")</f>
        <v>VASO SANITÁRIO SIFONADO COM CAIXA ACOPLADA LOUÇA BRANCA, INCLUSO ENGATE FLEXÍVEL EM PLÁSTICO BRANCO, 1/2  X 40CM - FORNECIMENTO E INSTALAÇÃO. AF_01/2020</v>
      </c>
      <c r="O138" s="229" t="str">
        <f ca="1">Referencia.Unidade</f>
        <v>UN</v>
      </c>
      <c r="P138" s="232">
        <f ca="1">OFFSET(PLQ!$E$12,ROW($P138)-ROW(P$12),0)</f>
        <v>13</v>
      </c>
      <c r="Q138" s="228">
        <v>496.85</v>
      </c>
      <c r="R138" s="231" t="s">
        <v>7</v>
      </c>
      <c r="S138" s="121">
        <f ca="1" t="shared" si="74"/>
        <v>599.2</v>
      </c>
      <c r="T138" s="98">
        <f ca="1" t="shared" si="75"/>
        <v>7789.6</v>
      </c>
      <c r="U138" s="13" t="str">
        <f ca="1" t="shared" si="85"/>
        <v/>
      </c>
      <c r="V138" s="4" t="str">
        <f ca="1">IF(OR($A138=0,$A138="S",$A138&gt;CFF!$A$9),"",MAX(V$12:OFFSET(V138,-1,0))+1)</f>
        <v/>
      </c>
      <c r="W138" s="9" t="str">
        <f t="shared" si="86"/>
        <v>Sinapi-86931</v>
      </c>
      <c r="X138" s="4">
        <f ca="1" t="shared" si="76"/>
        <v>5094</v>
      </c>
      <c r="Y138" s="121">
        <f ca="1">IF(Import.Desoneracao="sim",Referencia.Desonerado,Referencia.NaoDesonerado)</f>
        <v>496.85</v>
      </c>
      <c r="Z138" s="132">
        <f ca="1">ROUND(IF(ISNUMBER(R138),R138,IF(LEFT(R138,3)="BDI",HLOOKUP(R138,DADOS!$T$37:$X$38,2,FALSE),0)),15-11*$X$5)</f>
        <v>0.206</v>
      </c>
      <c r="AA138" s="4"/>
    </row>
    <row r="139" spans="1:27" ht="39.6">
      <c r="A139" t="str">
        <f t="shared" si="77"/>
        <v>S</v>
      </c>
      <c r="B139">
        <f t="shared" si="78"/>
        <v>0</v>
      </c>
      <c r="C139">
        <f ca="1" t="shared" si="79"/>
        <v>1</v>
      </c>
      <c r="D139">
        <f ca="1" t="shared" si="80"/>
        <v>19</v>
      </c>
      <c r="E139">
        <f ca="1" t="shared" si="81"/>
        <v>0</v>
      </c>
      <c r="F139">
        <f ca="1" t="shared" si="82"/>
        <v>0</v>
      </c>
      <c r="G139">
        <f ca="1" t="shared" si="83"/>
        <v>2</v>
      </c>
      <c r="H139">
        <f ca="1" t="shared" si="72"/>
        <v>0</v>
      </c>
      <c r="I139">
        <f ca="1" t="shared" si="73"/>
        <v>0</v>
      </c>
      <c r="J139" s="120" t="s">
        <v>103</v>
      </c>
      <c r="K139" s="162" t="str">
        <f ca="1" t="shared" si="84"/>
        <v>1.19.2.</v>
      </c>
      <c r="L139" s="209" t="s">
        <v>228</v>
      </c>
      <c r="M139" s="209" t="s">
        <v>331</v>
      </c>
      <c r="N139" s="230" t="str">
        <f ca="1">IF($A139="S",Referencia.Descricao,"(digite a descrição aqui)")</f>
        <v>VASO SANITARIO SIFONADO CONVENCIONAL PARA PCD SEM FURO FRONTAL COM LOUÇA BRANCA SEM ASSENTO, INCLUSO CONJUNTO DE LIGAÇÃO PARA BACIA SANITÁRIA AJUSTÁVEL - FORNECIMENTO E INSTALAÇÃO. AF_01/2020</v>
      </c>
      <c r="O139" s="229" t="str">
        <f ca="1">Referencia.Unidade</f>
        <v>UN</v>
      </c>
      <c r="P139" s="232">
        <f ca="1">OFFSET(PLQ!$E$12,ROW($P139)-ROW(P$12),0)</f>
        <v>13</v>
      </c>
      <c r="Q139" s="228">
        <v>765.49</v>
      </c>
      <c r="R139" s="231" t="s">
        <v>7</v>
      </c>
      <c r="S139" s="121">
        <f ca="1" t="shared" si="74"/>
        <v>923.18</v>
      </c>
      <c r="T139" s="98">
        <f ca="1" t="shared" si="75"/>
        <v>12001.34</v>
      </c>
      <c r="U139" s="13" t="str">
        <f ca="1" t="shared" si="85"/>
        <v/>
      </c>
      <c r="V139" s="4" t="str">
        <f ca="1">IF(OR($A139=0,$A139="S",$A139&gt;CFF!$A$9),"",MAX(V$12:OFFSET(V139,-1,0))+1)</f>
        <v/>
      </c>
      <c r="W139" s="9" t="str">
        <f t="shared" si="86"/>
        <v>Sinapi-95472</v>
      </c>
      <c r="X139" s="4">
        <f ca="1" t="shared" si="76"/>
        <v>5114</v>
      </c>
      <c r="Y139" s="121">
        <f ca="1">IF(Import.Desoneracao="sim",Referencia.Desonerado,Referencia.NaoDesonerado)</f>
        <v>765.49</v>
      </c>
      <c r="Z139" s="132">
        <f ca="1">ROUND(IF(ISNUMBER(R139),R139,IF(LEFT(R139,3)="BDI",HLOOKUP(R139,DADOS!$T$37:$X$38,2,FALSE),0)),15-11*$X$5)</f>
        <v>0.206</v>
      </c>
      <c r="AA139" s="4"/>
    </row>
    <row r="140" spans="1:27" ht="12.75">
      <c r="A140" t="str">
        <f>CHOOSE(1+LOG(1+2*(J140="Meta")+4*(J140="Nível 2")+8*(J140="Nível 3")+16*(J140="Nível 4")+32*(J140="Serviço"),2),0,1,2,3,4,"S")</f>
        <v>S</v>
      </c>
      <c r="B140">
        <f>IF(OR(A140="S",A140=0),0,IF(ISERROR(I140),H140,SMALL(H140:I140,1)))</f>
        <v>0</v>
      </c>
      <c r="C140">
        <f ca="1">IF($A140=1,OFFSET(C140,-1,0)+1,OFFSET(C140,-1,0))</f>
        <v>1</v>
      </c>
      <c r="D140">
        <f ca="1">IF($A140=1,0,IF($A140=2,OFFSET(D140,-1,0)+1,OFFSET(D140,-1,0)))</f>
        <v>19</v>
      </c>
      <c r="E140">
        <f ca="1">IF(AND($A140&lt;=2,$A140&lt;&gt;0),0,IF($A140=3,OFFSET(E140,-1,0)+1,OFFSET(E140,-1,0)))</f>
        <v>0</v>
      </c>
      <c r="F140">
        <f ca="1">IF(AND($A140&lt;=3,$A140&lt;&gt;0),0,IF($A140=4,OFFSET(F140,-1,0)+1,OFFSET(F140,-1,0)))</f>
        <v>0</v>
      </c>
      <c r="G140">
        <f ca="1">IF(AND($A140&lt;=4,$A140&lt;&gt;0),0,IF($A140="S",OFFSET(G140,-1,0)+1,OFFSET(G140,-1,0)))</f>
        <v>3</v>
      </c>
      <c r="H140">
        <f aca="true" ca="1" t="shared" si="87" ref="H140:H173">IF(OR($A140="S",$A140=0),0,MATCH(0,OFFSET($B140,1,$A140,ROW($A$174)-ROW($A140)),0))</f>
        <v>0</v>
      </c>
      <c r="I140">
        <f aca="true" ca="1" t="shared" si="88" ref="I140:I173">IF(OR($A140="S",$A140=0),0,MATCH(OFFSET($B140,0,$A140)+1,OFFSET($B140,1,$A140,ROW($A$174)-ROW($A140)),0))</f>
        <v>0</v>
      </c>
      <c r="J140" s="120" t="s">
        <v>103</v>
      </c>
      <c r="K140" s="162" t="str">
        <f ca="1">IF($A140=0,"-",CONCATENATE(C140&amp;".",IF(AND($A$5&gt;=2,$A140&gt;=2),D140&amp;".",""),IF(AND($A$5&gt;=3,$A140&gt;=3),E140&amp;".",""),IF(AND($A$5&gt;=4,$A140&gt;=4),F140&amp;".",""),IF($A140="S",G140&amp;".","")))</f>
        <v>1.19.3.</v>
      </c>
      <c r="L140" s="209" t="s">
        <v>286</v>
      </c>
      <c r="M140" s="209" t="s">
        <v>401</v>
      </c>
      <c r="N140" s="230" t="str">
        <f ca="1">IF($A140="S",Referencia.Descricao,"(digite a descrição aqui)")</f>
        <v xml:space="preserve">ASSENTO SANITARIO DE PLASTICO, TIPO CONVENCIONAL                                                                                                                                                                                                                                                                                                                                                                                                                                                          </v>
      </c>
      <c r="O140" s="229" t="str">
        <f ca="1">Referencia.Unidade</f>
        <v xml:space="preserve">UN    </v>
      </c>
      <c r="P140" s="232">
        <f ca="1">OFFSET(PLQ!$E$12,ROW($P140)-ROW(P$12),0)</f>
        <v>26</v>
      </c>
      <c r="Q140" s="228">
        <v>36.33</v>
      </c>
      <c r="R140" s="231" t="s">
        <v>8</v>
      </c>
      <c r="S140" s="121">
        <f ca="1">IF($A140="S",IF($Q$10="Preço Unitário (R$)",PO.CustoUnitario,ROUND(PO.CustoUnitario*(1+$Z140),15-13*$X$6)),0)</f>
        <v>40.91</v>
      </c>
      <c r="T140" s="98">
        <f ca="1">IF($A140="S",VTOTAL1,IF($A140=0,0,ROUND(SomaAgrup,15-13*$X$7)))</f>
        <v>1063.66</v>
      </c>
      <c r="U140" s="13" t="str">
        <f ca="1">IF($J140="","",IF($N140="","DESCRIÇÃO",IF(AND($J140="Serviço",$O140=""),"UNIDADE",IF($T140&lt;=0,"SEM VALOR",IF(AND($Y140&lt;&gt;"",$Q140&gt;$Y140),"ACIMA REF.","")))))</f>
        <v/>
      </c>
      <c r="V140" s="4" t="str">
        <f ca="1">IF(OR($A140=0,$A140="S",$A140&gt;CFF!$A$9),"",MAX(V$12:OFFSET(V140,-1,0))+1)</f>
        <v/>
      </c>
      <c r="W140" s="9" t="str">
        <f>IF(AND($J140="Serviço",$M140&lt;&gt;""),IF($L140="",$M140,CONCATENATE($L140,"-",$M140)))</f>
        <v>Sinapi-i-377</v>
      </c>
      <c r="X140" s="4">
        <f ca="1">IF(AND(Fonte&lt;&gt;"",Código&lt;&gt;""),MATCH(Fonte&amp;" "&amp;IF(Fonte="sinapi",SUBSTITUTE(SUBSTITUTE(Código,"/00","/"),"/0","/"),Código),INDIRECT("'[Referência "&amp;_XLNM.DATABASE&amp;".xls]Banco'!$a:$a"),0),"X")</f>
        <v>7876</v>
      </c>
      <c r="Y140" s="121">
        <f ca="1">IF(Import.Desoneracao="sim",Referencia.Desonerado,Referencia.NaoDesonerado)</f>
        <v>36.33</v>
      </c>
      <c r="Z140" s="132">
        <f ca="1">ROUND(IF(ISNUMBER(R140),R140,IF(LEFT(R140,3)="BDI",HLOOKUP(R140,DADOS!$T$37:$X$38,2,FALSE),0)),15-11*$X$5)</f>
        <v>0.1262</v>
      </c>
      <c r="AA140" s="4"/>
    </row>
    <row r="141" spans="1:27" ht="26.4">
      <c r="A141" t="str">
        <f>CHOOSE(1+LOG(1+2*(J141="Meta")+4*(J141="Nível 2")+8*(J141="Nível 3")+16*(J141="Nível 4")+32*(J141="Serviço"),2),0,1,2,3,4,"S")</f>
        <v>S</v>
      </c>
      <c r="B141">
        <f>IF(OR(A141="S",A141=0),0,IF(ISERROR(I141),H141,SMALL(H141:I141,1)))</f>
        <v>0</v>
      </c>
      <c r="C141">
        <f ca="1">IF($A141=1,OFFSET(C141,-1,0)+1,OFFSET(C141,-1,0))</f>
        <v>1</v>
      </c>
      <c r="D141">
        <f ca="1">IF($A141=1,0,IF($A141=2,OFFSET(D141,-1,0)+1,OFFSET(D141,-1,0)))</f>
        <v>19</v>
      </c>
      <c r="E141">
        <f ca="1">IF(AND($A141&lt;=2,$A141&lt;&gt;0),0,IF($A141=3,OFFSET(E141,-1,0)+1,OFFSET(E141,-1,0)))</f>
        <v>0</v>
      </c>
      <c r="F141">
        <f ca="1">IF(AND($A141&lt;=3,$A141&lt;&gt;0),0,IF($A141=4,OFFSET(F141,-1,0)+1,OFFSET(F141,-1,0)))</f>
        <v>0</v>
      </c>
      <c r="G141">
        <f ca="1">IF(AND($A141&lt;=4,$A141&lt;&gt;0),0,IF($A141="S",OFFSET(G141,-1,0)+1,OFFSET(G141,-1,0)))</f>
        <v>4</v>
      </c>
      <c r="H141">
        <f ca="1" t="shared" si="87"/>
        <v>0</v>
      </c>
      <c r="I141">
        <f ca="1" t="shared" si="88"/>
        <v>0</v>
      </c>
      <c r="J141" s="120" t="s">
        <v>103</v>
      </c>
      <c r="K141" s="162" t="str">
        <f ca="1">IF($A141=0,"-",CONCATENATE(C141&amp;".",IF(AND($A$5&gt;=2,$A141&gt;=2),D141&amp;".",""),IF(AND($A$5&gt;=3,$A141&gt;=3),E141&amp;".",""),IF(AND($A$5&gt;=4,$A141&gt;=4),F141&amp;".",""),IF($A141="S",G141&amp;".","")))</f>
        <v>1.19.4.</v>
      </c>
      <c r="L141" s="209" t="s">
        <v>286</v>
      </c>
      <c r="M141" s="209" t="s">
        <v>336</v>
      </c>
      <c r="N141" s="230" t="str">
        <f ca="1">IF($A141="S",Referencia.Descricao,"(digite a descrição aqui)")</f>
        <v xml:space="preserve">VALVULA DE DESCARGA METALICA, BASE 1 1/2 " E ACABAMENTO METALICO CROMADO                                                                                                                                                                                                                                                                                                                                                                                                                                  </v>
      </c>
      <c r="O141" s="229" t="str">
        <f ca="1">Referencia.Unidade</f>
        <v xml:space="preserve">UN    </v>
      </c>
      <c r="P141" s="232">
        <f ca="1">OFFSET(PLQ!$E$12,ROW($P141)-ROW(P$12),0)</f>
        <v>13</v>
      </c>
      <c r="Q141" s="228">
        <v>299.9</v>
      </c>
      <c r="R141" s="231" t="s">
        <v>8</v>
      </c>
      <c r="S141" s="121">
        <f ca="1">IF($A141="S",IF($Q$10="Preço Unitário (R$)",PO.CustoUnitario,ROUND(PO.CustoUnitario*(1+$Z141),15-13*$X$6)),0)</f>
        <v>337.75</v>
      </c>
      <c r="T141" s="98">
        <f ca="1">IF($A141="S",VTOTAL1,IF($A141=0,0,ROUND(SomaAgrup,15-13*$X$7)))</f>
        <v>4390.75</v>
      </c>
      <c r="U141" s="13" t="str">
        <f ca="1">IF($J141="","",IF($N141="","DESCRIÇÃO",IF(AND($J141="Serviço",$O141=""),"UNIDADE",IF($T141&lt;=0,"SEM VALOR",IF(AND($Y141&lt;&gt;"",$Q141&gt;$Y141),"ACIMA REF.","")))))</f>
        <v/>
      </c>
      <c r="V141" s="4" t="str">
        <f ca="1">IF(OR($A141=0,$A141="S",$A141&gt;CFF!$A$9),"",MAX(V$12:OFFSET(V141,-1,0))+1)</f>
        <v/>
      </c>
      <c r="W141" s="9" t="str">
        <f>IF(AND($J141="Serviço",$M141&lt;&gt;""),IF($L141="",$M141,CONCATENATE($L141,"-",$M141)))</f>
        <v>Sinapi-i-10228</v>
      </c>
      <c r="X141" s="4">
        <f ca="1">IF(AND(Fonte&lt;&gt;"",Código&lt;&gt;""),MATCH(Fonte&amp;" "&amp;IF(Fonte="sinapi",SUBSTITUTE(SUBSTITUTE(Código,"/00","/"),"/0","/"),Código),INDIRECT("'[Referência "&amp;_XLNM.DATABASE&amp;".xls]Banco'!$a:$a"),0),"X")</f>
        <v>12341</v>
      </c>
      <c r="Y141" s="121">
        <f ca="1">IF(Import.Desoneracao="sim",Referencia.Desonerado,Referencia.NaoDesonerado)</f>
        <v>299.9</v>
      </c>
      <c r="Z141" s="132">
        <f ca="1">ROUND(IF(ISNUMBER(R141),R141,IF(LEFT(R141,3)="BDI",HLOOKUP(R141,DADOS!$T$37:$X$38,2,FALSE),0)),15-11*$X$5)</f>
        <v>0.1262</v>
      </c>
      <c r="AA141" s="4"/>
    </row>
    <row r="142" spans="1:27" ht="52.8">
      <c r="A142" t="str">
        <f t="shared" si="77"/>
        <v>S</v>
      </c>
      <c r="B142">
        <f t="shared" si="78"/>
        <v>0</v>
      </c>
      <c r="C142">
        <f ca="1" t="shared" si="79"/>
        <v>1</v>
      </c>
      <c r="D142">
        <f ca="1" t="shared" si="80"/>
        <v>19</v>
      </c>
      <c r="E142">
        <f ca="1" t="shared" si="81"/>
        <v>0</v>
      </c>
      <c r="F142">
        <f ca="1" t="shared" si="82"/>
        <v>0</v>
      </c>
      <c r="G142">
        <f ca="1" t="shared" si="83"/>
        <v>5</v>
      </c>
      <c r="H142">
        <f ca="1" t="shared" si="87"/>
        <v>0</v>
      </c>
      <c r="I142">
        <f ca="1" t="shared" si="88"/>
        <v>0</v>
      </c>
      <c r="J142" s="120" t="s">
        <v>103</v>
      </c>
      <c r="K142" s="162" t="str">
        <f ca="1" t="shared" si="84"/>
        <v>1.19.5.</v>
      </c>
      <c r="L142" s="209" t="s">
        <v>228</v>
      </c>
      <c r="M142" s="209" t="s">
        <v>332</v>
      </c>
      <c r="N142" s="230" t="str">
        <f ca="1">IF($A142="S",Referencia.Descricao,"(digite a descrição aqui)")</f>
        <v>LAVATÓRIO LOUÇA BRANCA SUSPENSO, 29,5 X 39CM OU EQUIVALENTE, PADRÃO POPULAR, INCLUSO SIFÃO FLEXÍVEL EM PVC, VÁLVULA E ENGATE FLEXÍVEL 30CM EM PLÁSTICO E TORNEIRA CROMADA DE MESA, PADRÃO POPULAR - FORNECIMENTO E INSTALAÇÃO. AF_01/2020</v>
      </c>
      <c r="O142" s="229" t="str">
        <f ca="1">Referencia.Unidade</f>
        <v>UN</v>
      </c>
      <c r="P142" s="232">
        <f ca="1">OFFSET(PLQ!$E$12,ROW($P142)-ROW(P$12),0)</f>
        <v>26</v>
      </c>
      <c r="Q142" s="228">
        <v>298.07</v>
      </c>
      <c r="R142" s="231" t="s">
        <v>7</v>
      </c>
      <c r="S142" s="121">
        <f ca="1" t="shared" si="74"/>
        <v>359.47</v>
      </c>
      <c r="T142" s="98">
        <f ca="1" t="shared" si="75"/>
        <v>9346.22</v>
      </c>
      <c r="U142" s="13" t="str">
        <f ca="1" t="shared" si="85"/>
        <v/>
      </c>
      <c r="V142" s="4" t="str">
        <f ca="1">IF(OR($A142=0,$A142="S",$A142&gt;CFF!$A$9),"",MAX(V$12:OFFSET(V142,-1,0))+1)</f>
        <v/>
      </c>
      <c r="W142" s="9" t="str">
        <f t="shared" si="86"/>
        <v>Sinapi-86943</v>
      </c>
      <c r="X142" s="4">
        <f ca="1" t="shared" si="76"/>
        <v>5106</v>
      </c>
      <c r="Y142" s="121">
        <f ca="1">IF(Import.Desoneracao="sim",Referencia.Desonerado,Referencia.NaoDesonerado)</f>
        <v>298.07</v>
      </c>
      <c r="Z142" s="132">
        <f ca="1">ROUND(IF(ISNUMBER(R142),R142,IF(LEFT(R142,3)="BDI",HLOOKUP(R142,DADOS!$T$37:$X$38,2,FALSE),0)),15-11*$X$5)</f>
        <v>0.206</v>
      </c>
      <c r="AA142" s="4"/>
    </row>
    <row r="143" spans="1:27" ht="26.4">
      <c r="A143" t="str">
        <f t="shared" si="77"/>
        <v>S</v>
      </c>
      <c r="B143">
        <f t="shared" si="78"/>
        <v>0</v>
      </c>
      <c r="C143">
        <f ca="1" t="shared" si="79"/>
        <v>1</v>
      </c>
      <c r="D143">
        <f ca="1" t="shared" si="80"/>
        <v>19</v>
      </c>
      <c r="E143">
        <f ca="1" t="shared" si="81"/>
        <v>0</v>
      </c>
      <c r="F143">
        <f ca="1" t="shared" si="82"/>
        <v>0</v>
      </c>
      <c r="G143">
        <f ca="1" t="shared" si="83"/>
        <v>6</v>
      </c>
      <c r="H143">
        <f ca="1" t="shared" si="87"/>
        <v>0</v>
      </c>
      <c r="I143">
        <f ca="1" t="shared" si="88"/>
        <v>0</v>
      </c>
      <c r="J143" s="120" t="s">
        <v>103</v>
      </c>
      <c r="K143" s="162" t="str">
        <f ca="1" t="shared" si="84"/>
        <v>1.19.6.</v>
      </c>
      <c r="L143" s="209" t="s">
        <v>228</v>
      </c>
      <c r="M143" s="209" t="s">
        <v>333</v>
      </c>
      <c r="N143" s="230" t="str">
        <f ca="1">IF($A143="S",Referencia.Descricao,"(digite a descrição aqui)")</f>
        <v>CHUVEIRO ELÉTRICO COMUM CORPO PLÁSTICO, TIPO DUCHA  FORNECIMENTO E INSTALAÇÃO. AF_01/2020</v>
      </c>
      <c r="O143" s="229" t="str">
        <f ca="1">Referencia.Unidade</f>
        <v>UN</v>
      </c>
      <c r="P143" s="232">
        <f ca="1">OFFSET(PLQ!$E$12,ROW($P143)-ROW(P$12),0)</f>
        <v>13</v>
      </c>
      <c r="Q143" s="228">
        <v>89.81</v>
      </c>
      <c r="R143" s="231" t="s">
        <v>7</v>
      </c>
      <c r="S143" s="121">
        <f ca="1" t="shared" si="74"/>
        <v>108.31</v>
      </c>
      <c r="T143" s="98">
        <f ca="1" t="shared" si="75"/>
        <v>1408.03</v>
      </c>
      <c r="U143" s="13" t="str">
        <f ca="1" t="shared" si="85"/>
        <v/>
      </c>
      <c r="V143" s="4" t="str">
        <f ca="1">IF(OR($A143=0,$A143="S",$A143&gt;CFF!$A$9),"",MAX(V$12:OFFSET(V143,-1,0))+1)</f>
        <v/>
      </c>
      <c r="W143" s="9" t="str">
        <f t="shared" si="86"/>
        <v>Sinapi-100860</v>
      </c>
      <c r="X143" s="4">
        <f ca="1" t="shared" si="76"/>
        <v>5131</v>
      </c>
      <c r="Y143" s="121">
        <f ca="1">IF(Import.Desoneracao="sim",Referencia.Desonerado,Referencia.NaoDesonerado)</f>
        <v>89.81</v>
      </c>
      <c r="Z143" s="132">
        <f ca="1">ROUND(IF(ISNUMBER(R143),R143,IF(LEFT(R143,3)="BDI",HLOOKUP(R143,DADOS!$T$37:$X$38,2,FALSE),0)),15-11*$X$5)</f>
        <v>0.206</v>
      </c>
      <c r="AA143" s="4"/>
    </row>
    <row r="144" spans="1:27" ht="26.4">
      <c r="A144" t="str">
        <f t="shared" si="77"/>
        <v>S</v>
      </c>
      <c r="B144">
        <f t="shared" si="78"/>
        <v>0</v>
      </c>
      <c r="C144">
        <f ca="1" t="shared" si="79"/>
        <v>1</v>
      </c>
      <c r="D144">
        <f ca="1" t="shared" si="80"/>
        <v>19</v>
      </c>
      <c r="E144">
        <f ca="1" t="shared" si="81"/>
        <v>0</v>
      </c>
      <c r="F144">
        <f ca="1" t="shared" si="82"/>
        <v>0</v>
      </c>
      <c r="G144">
        <f ca="1" t="shared" si="83"/>
        <v>7</v>
      </c>
      <c r="H144">
        <f ca="1" t="shared" si="87"/>
        <v>0</v>
      </c>
      <c r="I144">
        <f ca="1" t="shared" si="88"/>
        <v>0</v>
      </c>
      <c r="J144" s="120" t="s">
        <v>103</v>
      </c>
      <c r="K144" s="162" t="str">
        <f ca="1" t="shared" si="84"/>
        <v>1.19.7.</v>
      </c>
      <c r="L144" s="209" t="s">
        <v>228</v>
      </c>
      <c r="M144" s="209" t="s">
        <v>334</v>
      </c>
      <c r="N144" s="230" t="str">
        <f ca="1">IF($A144="S",Referencia.Descricao,"(digite a descrição aqui)")</f>
        <v>TORNEIRA CROMADA DE MESA, 1/2 OU 3/4, PARA LAVATÓRIO, PADRÃO POPULAR - FORNECIMENTO E INSTALAÇÃO. AF_01/2020</v>
      </c>
      <c r="O144" s="229" t="str">
        <f ca="1">Referencia.Unidade</f>
        <v>UN</v>
      </c>
      <c r="P144" s="232">
        <f ca="1">OFFSET(PLQ!$E$12,ROW($P144)-ROW(P$12),0)</f>
        <v>26</v>
      </c>
      <c r="Q144" s="228">
        <v>111.46</v>
      </c>
      <c r="R144" s="231" t="s">
        <v>7</v>
      </c>
      <c r="S144" s="121">
        <f ca="1" t="shared" si="74"/>
        <v>134.42</v>
      </c>
      <c r="T144" s="98">
        <f ca="1" t="shared" si="75"/>
        <v>3494.92</v>
      </c>
      <c r="U144" s="13" t="str">
        <f ca="1" t="shared" si="85"/>
        <v/>
      </c>
      <c r="V144" s="4" t="str">
        <f ca="1">IF(OR($A144=0,$A144="S",$A144&gt;CFF!$A$9),"",MAX(V$12:OFFSET(V144,-1,0))+1)</f>
        <v/>
      </c>
      <c r="W144" s="9" t="str">
        <f t="shared" si="86"/>
        <v>Sinapi-86906</v>
      </c>
      <c r="X144" s="4">
        <f ca="1" t="shared" si="76"/>
        <v>5073</v>
      </c>
      <c r="Y144" s="121">
        <f ca="1">IF(Import.Desoneracao="sim",Referencia.Desonerado,Referencia.NaoDesonerado)</f>
        <v>111.46</v>
      </c>
      <c r="Z144" s="132">
        <f ca="1">ROUND(IF(ISNUMBER(R144),R144,IF(LEFT(R144,3)="BDI",HLOOKUP(R144,DADOS!$T$37:$X$38,2,FALSE),0)),15-11*$X$5)</f>
        <v>0.206</v>
      </c>
      <c r="AA144" s="4"/>
    </row>
    <row r="145" spans="1:27" ht="12.75">
      <c r="A145" t="str">
        <f>CHOOSE(1+LOG(1+2*(J145="Meta")+4*(J145="Nível 2")+8*(J145="Nível 3")+16*(J145="Nível 4")+32*(J145="Serviço"),2),0,1,2,3,4,"S")</f>
        <v>S</v>
      </c>
      <c r="B145">
        <f>IF(OR(A145="S",A145=0),0,IF(ISERROR(I145),H145,SMALL(H145:I145,1)))</f>
        <v>0</v>
      </c>
      <c r="C145">
        <f ca="1">IF($A145=1,OFFSET(C145,-1,0)+1,OFFSET(C145,-1,0))</f>
        <v>1</v>
      </c>
      <c r="D145">
        <f ca="1">IF($A145=1,0,IF($A145=2,OFFSET(D145,-1,0)+1,OFFSET(D145,-1,0)))</f>
        <v>19</v>
      </c>
      <c r="E145">
        <f ca="1">IF(AND($A145&lt;=2,$A145&lt;&gt;0),0,IF($A145=3,OFFSET(E145,-1,0)+1,OFFSET(E145,-1,0)))</f>
        <v>0</v>
      </c>
      <c r="F145">
        <f ca="1">IF(AND($A145&lt;=3,$A145&lt;&gt;0),0,IF($A145=4,OFFSET(F145,-1,0)+1,OFFSET(F145,-1,0)))</f>
        <v>0</v>
      </c>
      <c r="G145">
        <f ca="1">IF(AND($A145&lt;=4,$A145&lt;&gt;0),0,IF($A145="S",OFFSET(G145,-1,0)+1,OFFSET(G145,-1,0)))</f>
        <v>8</v>
      </c>
      <c r="H145">
        <f ca="1" t="shared" si="87"/>
        <v>0</v>
      </c>
      <c r="I145">
        <f ca="1" t="shared" si="88"/>
        <v>0</v>
      </c>
      <c r="J145" s="120" t="s">
        <v>103</v>
      </c>
      <c r="K145" s="162" t="str">
        <f ca="1">IF($A145=0,"-",CONCATENATE(C145&amp;".",IF(AND($A$5&gt;=2,$A145&gt;=2),D145&amp;".",""),IF(AND($A$5&gt;=3,$A145&gt;=3),E145&amp;".",""),IF(AND($A$5&gt;=4,$A145&gt;=4),F145&amp;".",""),IF($A145="S",G145&amp;".","")))</f>
        <v>1.19.8.</v>
      </c>
      <c r="L145" s="209" t="s">
        <v>228</v>
      </c>
      <c r="M145" s="209" t="s">
        <v>372</v>
      </c>
      <c r="N145" s="230" t="str">
        <f ca="1">IF($A145="S",Referencia.Descricao,"(digite a descrição aqui)")</f>
        <v>TORNEIRA PLÁSTICA 3/4 PARA TANQUE - FORNECIMENTO E INSTALAÇÃO. AF_01/2020</v>
      </c>
      <c r="O145" s="229" t="str">
        <f ca="1">Referencia.Unidade</f>
        <v>UN</v>
      </c>
      <c r="P145" s="232">
        <f ca="1">OFFSET(PLQ!$E$12,ROW($P145)-ROW(P$12),0)</f>
        <v>13</v>
      </c>
      <c r="Q145" s="228">
        <v>30.13</v>
      </c>
      <c r="R145" s="231" t="s">
        <v>7</v>
      </c>
      <c r="S145" s="121">
        <f ca="1">IF($A145="S",IF($Q$10="Preço Unitário (R$)",PO.CustoUnitario,ROUND(PO.CustoUnitario*(1+$Z145),15-13*$X$6)),0)</f>
        <v>36.34</v>
      </c>
      <c r="T145" s="98">
        <f ca="1">IF($A145="S",VTOTAL1,IF($A145=0,0,ROUND(SomaAgrup,15-13*$X$7)))</f>
        <v>472.42</v>
      </c>
      <c r="U145" s="13" t="str">
        <f ca="1">IF($J145="","",IF($N145="","DESCRIÇÃO",IF(AND($J145="Serviço",$O145=""),"UNIDADE",IF($T145&lt;=0,"SEM VALOR",IF(AND($Y145&lt;&gt;"",$Q145&gt;$Y145),"ACIMA REF.","")))))</f>
        <v/>
      </c>
      <c r="V145" s="4" t="str">
        <f ca="1">IF(OR($A145=0,$A145="S",$A145&gt;CFF!$A$9),"",MAX(V$12:OFFSET(V145,-1,0))+1)</f>
        <v/>
      </c>
      <c r="W145" s="9" t="str">
        <f>IF(AND($J145="Serviço",$M145&lt;&gt;""),IF($L145="",$M145,CONCATENATE($L145,"-",$M145)))</f>
        <v>Sinapi-86916</v>
      </c>
      <c r="X145" s="4">
        <f ca="1">IF(AND(Fonte&lt;&gt;"",Código&lt;&gt;""),MATCH(Fonte&amp;" "&amp;IF(Fonte="sinapi",SUBSTITUTE(SUBSTITUTE(Código,"/00","/"),"/0","/"),Código),INDIRECT("'[Referência "&amp;_XLNM.DATABASE&amp;".xls]Banco'!$a:$a"),0),"X")</f>
        <v>5081</v>
      </c>
      <c r="Y145" s="121">
        <f ca="1">IF(Import.Desoneracao="sim",Referencia.Desonerado,Referencia.NaoDesonerado)</f>
        <v>30.13</v>
      </c>
      <c r="Z145" s="132">
        <f ca="1">ROUND(IF(ISNUMBER(R145),R145,IF(LEFT(R145,3)="BDI",HLOOKUP(R145,DADOS!$T$37:$X$38,2,FALSE),0)),15-11*$X$5)</f>
        <v>0.206</v>
      </c>
      <c r="AA145" s="4"/>
    </row>
    <row r="146" spans="1:27" ht="12.75">
      <c r="A146" t="str">
        <f t="shared" si="77"/>
        <v>S</v>
      </c>
      <c r="B146">
        <f t="shared" si="78"/>
        <v>0</v>
      </c>
      <c r="C146">
        <f ca="1" t="shared" si="79"/>
        <v>1</v>
      </c>
      <c r="D146">
        <f ca="1" t="shared" si="80"/>
        <v>19</v>
      </c>
      <c r="E146">
        <f ca="1" t="shared" si="81"/>
        <v>0</v>
      </c>
      <c r="F146">
        <f ca="1" t="shared" si="82"/>
        <v>0</v>
      </c>
      <c r="G146">
        <f ca="1" t="shared" si="83"/>
        <v>9</v>
      </c>
      <c r="H146">
        <f ca="1" t="shared" si="87"/>
        <v>0</v>
      </c>
      <c r="I146">
        <f ca="1" t="shared" si="88"/>
        <v>0</v>
      </c>
      <c r="J146" s="120" t="s">
        <v>103</v>
      </c>
      <c r="K146" s="162" t="str">
        <f ca="1" t="shared" si="84"/>
        <v>1.19.9.</v>
      </c>
      <c r="L146" s="209" t="s">
        <v>286</v>
      </c>
      <c r="M146" s="209" t="s">
        <v>337</v>
      </c>
      <c r="N146" s="230" t="str">
        <f ca="1">IF($A146="S",Referencia.Descricao,"(digite a descrição aqui)")</f>
        <v xml:space="preserve">PAPELEIRA PLASTICA TIPO DISPENSER PARA PAPEL HIGIENICO ROLAO                                                                                                                                                                                                                                                                                                                                                                                                                                              </v>
      </c>
      <c r="O146" s="229" t="str">
        <f ca="1">Referencia.Unidade</f>
        <v xml:space="preserve">UN    </v>
      </c>
      <c r="P146" s="232">
        <f ca="1">OFFSET(PLQ!$E$12,ROW($P146)-ROW(P$12),0)</f>
        <v>26</v>
      </c>
      <c r="Q146" s="228">
        <v>38</v>
      </c>
      <c r="R146" s="231" t="s">
        <v>8</v>
      </c>
      <c r="S146" s="121">
        <f ca="1" t="shared" si="74"/>
        <v>42.8</v>
      </c>
      <c r="T146" s="98">
        <f ca="1" t="shared" si="75"/>
        <v>1112.8</v>
      </c>
      <c r="U146" s="13" t="str">
        <f ca="1" t="shared" si="85"/>
        <v/>
      </c>
      <c r="V146" s="4" t="str">
        <f ca="1">IF(OR($A146=0,$A146="S",$A146&gt;CFF!$A$9),"",MAX(V$12:OFFSET(V146,-1,0))+1)</f>
        <v/>
      </c>
      <c r="W146" s="9" t="str">
        <f t="shared" si="86"/>
        <v>Sinapi-i-37400</v>
      </c>
      <c r="X146" s="4">
        <f ca="1" t="shared" si="76"/>
        <v>10720</v>
      </c>
      <c r="Y146" s="121">
        <f ca="1">IF(Import.Desoneracao="sim",Referencia.Desonerado,Referencia.NaoDesonerado)</f>
        <v>38</v>
      </c>
      <c r="Z146" s="132">
        <f ca="1">ROUND(IF(ISNUMBER(R146),R146,IF(LEFT(R146,3)="BDI",HLOOKUP(R146,DADOS!$T$37:$X$38,2,FALSE),0)),15-11*$X$5)</f>
        <v>0.1262</v>
      </c>
      <c r="AA146" s="4"/>
    </row>
    <row r="147" spans="1:27" ht="12.75">
      <c r="A147" t="str">
        <f t="shared" si="77"/>
        <v>S</v>
      </c>
      <c r="B147">
        <f t="shared" si="78"/>
        <v>0</v>
      </c>
      <c r="C147">
        <f ca="1" t="shared" si="79"/>
        <v>1</v>
      </c>
      <c r="D147">
        <f ca="1" t="shared" si="80"/>
        <v>19</v>
      </c>
      <c r="E147">
        <f ca="1" t="shared" si="81"/>
        <v>0</v>
      </c>
      <c r="F147">
        <f ca="1" t="shared" si="82"/>
        <v>0</v>
      </c>
      <c r="G147">
        <f ca="1" t="shared" si="83"/>
        <v>10</v>
      </c>
      <c r="H147">
        <f ca="1" t="shared" si="87"/>
        <v>0</v>
      </c>
      <c r="I147">
        <f ca="1" t="shared" si="88"/>
        <v>0</v>
      </c>
      <c r="J147" s="120" t="s">
        <v>103</v>
      </c>
      <c r="K147" s="162" t="str">
        <f ca="1" t="shared" si="84"/>
        <v>1.19.10.</v>
      </c>
      <c r="L147" s="209" t="s">
        <v>308</v>
      </c>
      <c r="M147" s="209" t="s">
        <v>234</v>
      </c>
      <c r="N147" s="230" t="str">
        <f ca="1">IF($A147="S",Referencia.Descricao,"(digite a descrição aqui)")</f>
        <v xml:space="preserve">Trocador de parede para bebê - Dobrável </v>
      </c>
      <c r="O147" s="229" t="str">
        <f ca="1">Referencia.Unidade</f>
        <v>UNIDADE</v>
      </c>
      <c r="P147" s="232">
        <f ca="1">OFFSET(PLQ!$E$12,ROW($P147)-ROW(P$12),0)</f>
        <v>13</v>
      </c>
      <c r="Q147" s="228">
        <v>124.33</v>
      </c>
      <c r="R147" s="231" t="s">
        <v>7</v>
      </c>
      <c r="S147" s="121">
        <f ca="1" t="shared" si="74"/>
        <v>149.94</v>
      </c>
      <c r="T147" s="98">
        <f ca="1" t="shared" si="75"/>
        <v>1949.22</v>
      </c>
      <c r="U147" s="13" t="str">
        <f ca="1" t="shared" si="85"/>
        <v/>
      </c>
      <c r="V147" s="4" t="str">
        <f ca="1">IF(OR($A147=0,$A147="S",$A147&gt;CFF!$A$9),"",MAX(V$12:OFFSET(V147,-1,0))+1)</f>
        <v/>
      </c>
      <c r="W147" s="9" t="str">
        <f t="shared" si="86"/>
        <v>Cotação-02</v>
      </c>
      <c r="X147" s="4">
        <f ca="1" t="shared" si="76"/>
        <v>14</v>
      </c>
      <c r="Y147" s="121">
        <f ca="1">IF(Import.Desoneracao="sim",Referencia.Desonerado,Referencia.NaoDesonerado)</f>
        <v>124.33333333333333</v>
      </c>
      <c r="Z147" s="132">
        <f ca="1">ROUND(IF(ISNUMBER(R147),R147,IF(LEFT(R147,3)="BDI",HLOOKUP(R147,DADOS!$T$37:$X$38,2,FALSE),0)),15-11*$X$5)</f>
        <v>0.206</v>
      </c>
      <c r="AA147" s="4"/>
    </row>
    <row r="148" spans="1:27" ht="26.4">
      <c r="A148" t="str">
        <f t="shared" si="77"/>
        <v>S</v>
      </c>
      <c r="B148">
        <f t="shared" si="78"/>
        <v>0</v>
      </c>
      <c r="C148">
        <f ca="1" t="shared" si="79"/>
        <v>1</v>
      </c>
      <c r="D148">
        <f ca="1" t="shared" si="80"/>
        <v>19</v>
      </c>
      <c r="E148">
        <f ca="1" t="shared" si="81"/>
        <v>0</v>
      </c>
      <c r="F148">
        <f ca="1" t="shared" si="82"/>
        <v>0</v>
      </c>
      <c r="G148">
        <f ca="1" t="shared" si="83"/>
        <v>11</v>
      </c>
      <c r="H148">
        <f ca="1" t="shared" si="87"/>
        <v>0</v>
      </c>
      <c r="I148">
        <f ca="1" t="shared" si="88"/>
        <v>0</v>
      </c>
      <c r="J148" s="120" t="s">
        <v>103</v>
      </c>
      <c r="K148" s="162" t="str">
        <f ca="1" t="shared" si="84"/>
        <v>1.19.11.</v>
      </c>
      <c r="L148" s="209" t="s">
        <v>228</v>
      </c>
      <c r="M148" s="209" t="s">
        <v>338</v>
      </c>
      <c r="N148" s="230" t="str">
        <f ca="1">IF($A148="S",Referencia.Descricao,"(digite a descrição aqui)")</f>
        <v>BARRA DE APOIO RETA, EM ALUMINIO, COMPRIMENTO 80 CM,  FIXADA NA PAREDE - FORNECIMENTO E INSTALAÇÃO. AF_01/2020</v>
      </c>
      <c r="O148" s="229" t="str">
        <f ca="1">Referencia.Unidade</f>
        <v>UN</v>
      </c>
      <c r="P148" s="232">
        <f ca="1">OFFSET(PLQ!$E$12,ROW($P148)-ROW(P$12),0)</f>
        <v>26</v>
      </c>
      <c r="Q148" s="228">
        <v>343.06</v>
      </c>
      <c r="R148" s="231" t="s">
        <v>7</v>
      </c>
      <c r="S148" s="121">
        <f ca="1" t="shared" si="74"/>
        <v>413.73</v>
      </c>
      <c r="T148" s="98">
        <f ca="1" t="shared" si="75"/>
        <v>10756.98</v>
      </c>
      <c r="U148" s="13" t="str">
        <f ca="1" t="shared" si="85"/>
        <v/>
      </c>
      <c r="V148" s="4" t="str">
        <f ca="1">IF(OR($A148=0,$A148="S",$A148&gt;CFF!$A$9),"",MAX(V$12:OFFSET(V148,-1,0))+1)</f>
        <v/>
      </c>
      <c r="W148" s="9" t="str">
        <f t="shared" si="86"/>
        <v>Sinapi-100872</v>
      </c>
      <c r="X148" s="4">
        <f ca="1" t="shared" si="76"/>
        <v>5143</v>
      </c>
      <c r="Y148" s="121">
        <f ca="1">IF(Import.Desoneracao="sim",Referencia.Desonerado,Referencia.NaoDesonerado)</f>
        <v>343.06</v>
      </c>
      <c r="Z148" s="132">
        <f ca="1">ROUND(IF(ISNUMBER(R148),R148,IF(LEFT(R148,3)="BDI",HLOOKUP(R148,DADOS!$T$37:$X$38,2,FALSE),0)),15-11*$X$5)</f>
        <v>0.206</v>
      </c>
      <c r="AA148" s="4"/>
    </row>
    <row r="149" spans="1:27" ht="26.4">
      <c r="A149" t="str">
        <f t="shared" si="77"/>
        <v>S</v>
      </c>
      <c r="B149">
        <f t="shared" si="78"/>
        <v>0</v>
      </c>
      <c r="C149">
        <f ca="1" t="shared" si="79"/>
        <v>1</v>
      </c>
      <c r="D149">
        <f ca="1" t="shared" si="80"/>
        <v>19</v>
      </c>
      <c r="E149">
        <f ca="1" t="shared" si="81"/>
        <v>0</v>
      </c>
      <c r="F149">
        <f ca="1" t="shared" si="82"/>
        <v>0</v>
      </c>
      <c r="G149">
        <f ca="1" t="shared" si="83"/>
        <v>12</v>
      </c>
      <c r="H149">
        <f ca="1" t="shared" si="87"/>
        <v>0</v>
      </c>
      <c r="I149">
        <f ca="1" t="shared" si="88"/>
        <v>0</v>
      </c>
      <c r="J149" s="120" t="s">
        <v>103</v>
      </c>
      <c r="K149" s="162" t="str">
        <f ca="1" t="shared" si="84"/>
        <v>1.19.12.</v>
      </c>
      <c r="L149" s="209" t="s">
        <v>228</v>
      </c>
      <c r="M149" s="209" t="s">
        <v>339</v>
      </c>
      <c r="N149" s="230" t="str">
        <f ca="1">IF($A149="S",Referencia.Descricao,"(digite a descrição aqui)")</f>
        <v>BARRA DE APOIO RETA, EM ALUMINIO, COMPRIMENTO 70 CM,  FIXADA NA PAREDE - FORNECIMENTO E INSTALAÇÃO. AF_01/2020</v>
      </c>
      <c r="O149" s="229" t="str">
        <f ca="1">Referencia.Unidade</f>
        <v>UN</v>
      </c>
      <c r="P149" s="232">
        <f ca="1">OFFSET(PLQ!$E$12,ROW($P149)-ROW(P$12),0)</f>
        <v>13</v>
      </c>
      <c r="Q149" s="228">
        <v>327.66</v>
      </c>
      <c r="R149" s="231" t="s">
        <v>7</v>
      </c>
      <c r="S149" s="121">
        <f ca="1" t="shared" si="74"/>
        <v>395.16</v>
      </c>
      <c r="T149" s="98">
        <f ca="1" t="shared" si="75"/>
        <v>5137.08</v>
      </c>
      <c r="U149" s="13" t="str">
        <f ca="1" t="shared" si="85"/>
        <v/>
      </c>
      <c r="V149" s="4" t="str">
        <f ca="1">IF(OR($A149=0,$A149="S",$A149&gt;CFF!$A$9),"",MAX(V$12:OFFSET(V149,-1,0))+1)</f>
        <v/>
      </c>
      <c r="W149" s="9" t="str">
        <f t="shared" si="86"/>
        <v>Sinapi-100871</v>
      </c>
      <c r="X149" s="4">
        <f ca="1" t="shared" si="76"/>
        <v>5142</v>
      </c>
      <c r="Y149" s="121">
        <f ca="1">IF(Import.Desoneracao="sim",Referencia.Desonerado,Referencia.NaoDesonerado)</f>
        <v>327.66</v>
      </c>
      <c r="Z149" s="132">
        <f ca="1">ROUND(IF(ISNUMBER(R149),R149,IF(LEFT(R149,3)="BDI",HLOOKUP(R149,DADOS!$T$37:$X$38,2,FALSE),0)),15-11*$X$5)</f>
        <v>0.206</v>
      </c>
      <c r="AA149" s="4"/>
    </row>
    <row r="150" spans="1:27" ht="26.4">
      <c r="A150" t="str">
        <f t="shared" si="77"/>
        <v>S</v>
      </c>
      <c r="B150">
        <f t="shared" si="78"/>
        <v>0</v>
      </c>
      <c r="C150">
        <f ca="1" t="shared" si="79"/>
        <v>1</v>
      </c>
      <c r="D150">
        <f ca="1" t="shared" si="80"/>
        <v>19</v>
      </c>
      <c r="E150">
        <f ca="1" t="shared" si="81"/>
        <v>0</v>
      </c>
      <c r="F150">
        <f ca="1" t="shared" si="82"/>
        <v>0</v>
      </c>
      <c r="G150">
        <f ca="1" t="shared" si="83"/>
        <v>13</v>
      </c>
      <c r="H150">
        <f ca="1" t="shared" si="87"/>
        <v>0</v>
      </c>
      <c r="I150">
        <f ca="1" t="shared" si="88"/>
        <v>0</v>
      </c>
      <c r="J150" s="120" t="s">
        <v>103</v>
      </c>
      <c r="K150" s="162" t="str">
        <f ca="1" t="shared" si="84"/>
        <v>1.19.13.</v>
      </c>
      <c r="L150" s="209" t="s">
        <v>228</v>
      </c>
      <c r="M150" s="209" t="s">
        <v>340</v>
      </c>
      <c r="N150" s="230" t="str">
        <f ca="1">IF($A150="S",Referencia.Descricao,"(digite a descrição aqui)")</f>
        <v>BARRA DE APOIO RETA, EM ALUMINIO, COMPRIMENTO 60 CM,  FIXADA NA PAREDE - FORNECIMENTO E INSTALAÇÃO. AF_01/2020</v>
      </c>
      <c r="O150" s="229" t="str">
        <f ca="1">Referencia.Unidade</f>
        <v>UN</v>
      </c>
      <c r="P150" s="232">
        <f ca="1">OFFSET(PLQ!$E$12,ROW($P150)-ROW(P$12),0)</f>
        <v>13</v>
      </c>
      <c r="Q150" s="228">
        <v>303.54</v>
      </c>
      <c r="R150" s="231" t="s">
        <v>7</v>
      </c>
      <c r="S150" s="121">
        <f ca="1" t="shared" si="74"/>
        <v>366.07</v>
      </c>
      <c r="T150" s="98">
        <f ca="1" t="shared" si="75"/>
        <v>4758.91</v>
      </c>
      <c r="U150" s="13" t="str">
        <f ca="1" t="shared" si="85"/>
        <v/>
      </c>
      <c r="V150" s="4" t="str">
        <f ca="1">IF(OR($A150=0,$A150="S",$A150&gt;CFF!$A$9),"",MAX(V$12:OFFSET(V150,-1,0))+1)</f>
        <v/>
      </c>
      <c r="W150" s="9" t="str">
        <f t="shared" si="86"/>
        <v>Sinapi-100870</v>
      </c>
      <c r="X150" s="4">
        <f ca="1" t="shared" si="76"/>
        <v>5141</v>
      </c>
      <c r="Y150" s="121">
        <f ca="1">IF(Import.Desoneracao="sim",Referencia.Desonerado,Referencia.NaoDesonerado)</f>
        <v>303.54</v>
      </c>
      <c r="Z150" s="132">
        <f ca="1">ROUND(IF(ISNUMBER(R150),R150,IF(LEFT(R150,3)="BDI",HLOOKUP(R150,DADOS!$T$37:$X$38,2,FALSE),0)),15-11*$X$5)</f>
        <v>0.206</v>
      </c>
      <c r="AA150" s="4"/>
    </row>
    <row r="151" spans="1:27" ht="12.75">
      <c r="A151" t="str">
        <f t="shared" si="77"/>
        <v>S</v>
      </c>
      <c r="B151">
        <f t="shared" si="78"/>
        <v>0</v>
      </c>
      <c r="C151">
        <f ca="1" t="shared" si="79"/>
        <v>1</v>
      </c>
      <c r="D151">
        <f ca="1" t="shared" si="80"/>
        <v>19</v>
      </c>
      <c r="E151">
        <f ca="1" t="shared" si="81"/>
        <v>0</v>
      </c>
      <c r="F151">
        <f ca="1" t="shared" si="82"/>
        <v>0</v>
      </c>
      <c r="G151">
        <f ca="1" t="shared" si="83"/>
        <v>14</v>
      </c>
      <c r="H151">
        <f ca="1" t="shared" si="87"/>
        <v>0</v>
      </c>
      <c r="I151">
        <f ca="1" t="shared" si="88"/>
        <v>0</v>
      </c>
      <c r="J151" s="120" t="s">
        <v>103</v>
      </c>
      <c r="K151" s="162" t="str">
        <f ca="1" t="shared" si="84"/>
        <v>1.19.14.</v>
      </c>
      <c r="L151" s="209" t="s">
        <v>308</v>
      </c>
      <c r="M151" s="209" t="s">
        <v>272</v>
      </c>
      <c r="N151" s="230" t="str">
        <f ca="1">IF($A151="S",Referencia.Descricao,"(digite a descrição aqui)")</f>
        <v xml:space="preserve">Barra de apoio lateral para pia, em U em inox - Fixada na parede - Fornecimento e instalação </v>
      </c>
      <c r="O151" s="229" t="str">
        <f ca="1">Referencia.Unidade</f>
        <v>UNIDADE</v>
      </c>
      <c r="P151" s="232">
        <f ca="1">OFFSET(PLQ!$E$12,ROW($P151)-ROW(P$12),0)</f>
        <v>13</v>
      </c>
      <c r="Q151" s="228">
        <v>138.61</v>
      </c>
      <c r="R151" s="231" t="s">
        <v>7</v>
      </c>
      <c r="S151" s="121">
        <f ca="1" t="shared" si="74"/>
        <v>167.16</v>
      </c>
      <c r="T151" s="98">
        <f ca="1" t="shared" si="75"/>
        <v>2173.08</v>
      </c>
      <c r="U151" s="13" t="str">
        <f ca="1" t="shared" si="85"/>
        <v>ACIMA REF.</v>
      </c>
      <c r="V151" s="4" t="str">
        <f ca="1">IF(OR($A151=0,$A151="S",$A151&gt;CFF!$A$9),"",MAX(V$12:OFFSET(V151,-1,0))+1)</f>
        <v/>
      </c>
      <c r="W151" s="9" t="str">
        <f t="shared" si="86"/>
        <v>Cotação-03</v>
      </c>
      <c r="X151" s="4">
        <f ca="1" t="shared" si="76"/>
        <v>15</v>
      </c>
      <c r="Y151" s="121">
        <f ca="1">IF(Import.Desoneracao="sim",Referencia.Desonerado,Referencia.NaoDesonerado)</f>
        <v>138.60500000000002</v>
      </c>
      <c r="Z151" s="132">
        <f ca="1">ROUND(IF(ISNUMBER(R151),R151,IF(LEFT(R151,3)="BDI",HLOOKUP(R151,DADOS!$T$37:$X$38,2,FALSE),0)),15-11*$X$5)</f>
        <v>0.206</v>
      </c>
      <c r="AA151" s="4"/>
    </row>
    <row r="152" spans="1:27" ht="12.75">
      <c r="A152">
        <f t="shared" si="77"/>
        <v>2</v>
      </c>
      <c r="B152">
        <f ca="1" t="shared" si="78"/>
        <v>22</v>
      </c>
      <c r="C152">
        <f ca="1" t="shared" si="79"/>
        <v>1</v>
      </c>
      <c r="D152">
        <f ca="1" t="shared" si="80"/>
        <v>20</v>
      </c>
      <c r="E152">
        <f ca="1" t="shared" si="81"/>
        <v>0</v>
      </c>
      <c r="F152">
        <f ca="1" t="shared" si="82"/>
        <v>0</v>
      </c>
      <c r="G152">
        <f ca="1" t="shared" si="83"/>
        <v>0</v>
      </c>
      <c r="H152">
        <f ca="1" t="shared" si="87"/>
        <v>22</v>
      </c>
      <c r="I152" t="e">
        <f ca="1" t="shared" si="88"/>
        <v>#N/A</v>
      </c>
      <c r="J152" s="120" t="s">
        <v>100</v>
      </c>
      <c r="K152" s="162" t="str">
        <f ca="1" t="shared" si="84"/>
        <v>1.20.</v>
      </c>
      <c r="L152" s="209"/>
      <c r="M152" s="209"/>
      <c r="N152" s="230" t="s">
        <v>353</v>
      </c>
      <c r="O152" s="229" t="str">
        <f ca="1">Referencia.Unidade</f>
        <v/>
      </c>
      <c r="P152" s="232">
        <f ca="1">OFFSET(PLQ!$E$12,ROW($P152)-ROW(P$12),0)</f>
        <v>0</v>
      </c>
      <c r="Q152" s="228"/>
      <c r="R152" s="231" t="s">
        <v>7</v>
      </c>
      <c r="S152" s="121">
        <f t="shared" si="74"/>
        <v>0</v>
      </c>
      <c r="T152" s="98">
        <f ca="1" t="shared" si="75"/>
        <v>67715.89</v>
      </c>
      <c r="U152" s="13" t="str">
        <f ca="1" t="shared" si="85"/>
        <v/>
      </c>
      <c r="V152" s="4">
        <f ca="1">IF(OR($A152=0,$A152="S",$A152&gt;CFF!$A$9),"",MAX(V$12:OFFSET(V152,-1,0))+1)</f>
        <v>21</v>
      </c>
      <c r="W152" s="9" t="b">
        <f t="shared" si="86"/>
        <v>0</v>
      </c>
      <c r="X152" s="4" t="str">
        <f ca="1" t="shared" si="76"/>
        <v>X</v>
      </c>
      <c r="Y152" s="121">
        <f ca="1">IF(Import.Desoneracao="sim",Referencia.Desonerado,Referencia.NaoDesonerado)</f>
        <v>0</v>
      </c>
      <c r="Z152" s="132">
        <f ca="1">ROUND(IF(ISNUMBER(R152),R152,IF(LEFT(R152,3)="BDI",HLOOKUP(R152,DADOS!$T$37:$X$38,2,FALSE),0)),15-11*$X$5)</f>
        <v>0.206</v>
      </c>
      <c r="AA152" s="4"/>
    </row>
    <row r="153" spans="1:27" ht="26.4">
      <c r="A153" t="str">
        <f>CHOOSE(1+LOG(1+2*(J153="Meta")+4*(J153="Nível 2")+8*(J153="Nível 3")+16*(J153="Nível 4")+32*(J153="Serviço"),2),0,1,2,3,4,"S")</f>
        <v>S</v>
      </c>
      <c r="B153">
        <f>IF(OR(A153="S",A153=0),0,IF(ISERROR(I153),H153,SMALL(H153:I153,1)))</f>
        <v>0</v>
      </c>
      <c r="C153">
        <f ca="1">IF($A153=1,OFFSET(C153,-1,0)+1,OFFSET(C153,-1,0))</f>
        <v>1</v>
      </c>
      <c r="D153">
        <f ca="1">IF($A153=1,0,IF($A153=2,OFFSET(D153,-1,0)+1,OFFSET(D153,-1,0)))</f>
        <v>20</v>
      </c>
      <c r="E153">
        <f ca="1">IF(AND($A153&lt;=2,$A153&lt;&gt;0),0,IF($A153=3,OFFSET(E153,-1,0)+1,OFFSET(E153,-1,0)))</f>
        <v>0</v>
      </c>
      <c r="F153">
        <f ca="1">IF(AND($A153&lt;=3,$A153&lt;&gt;0),0,IF($A153=4,OFFSET(F153,-1,0)+1,OFFSET(F153,-1,0)))</f>
        <v>0</v>
      </c>
      <c r="G153">
        <f ca="1">IF(AND($A153&lt;=4,$A153&lt;&gt;0),0,IF($A153="S",OFFSET(G153,-1,0)+1,OFFSET(G153,-1,0)))</f>
        <v>1</v>
      </c>
      <c r="H153">
        <f ca="1" t="shared" si="87"/>
        <v>0</v>
      </c>
      <c r="I153">
        <f ca="1" t="shared" si="88"/>
        <v>0</v>
      </c>
      <c r="J153" s="120" t="s">
        <v>103</v>
      </c>
      <c r="K153" s="162" t="str">
        <f ca="1">IF($A153=0,"-",CONCATENATE(C153&amp;".",IF(AND($A$5&gt;=2,$A153&gt;=2),D153&amp;".",""),IF(AND($A$5&gt;=3,$A153&gt;=3),E153&amp;".",""),IF(AND($A$5&gt;=4,$A153&gt;=4),F153&amp;".",""),IF($A153="S",G153&amp;".","")))</f>
        <v>1.20.1.</v>
      </c>
      <c r="L153" s="209" t="s">
        <v>228</v>
      </c>
      <c r="M153" s="209" t="s">
        <v>356</v>
      </c>
      <c r="N153" s="230" t="str">
        <f ca="1">IF($A153="S",Referencia.Descricao,"(digite a descrição aqui)")</f>
        <v>QUADRO DE DISTRIBUIÇÃO DE ENERGIA EM PVC, DE EMBUTIR, SEM BARRAMENTO, PARA 6 DISJUNTORES - FORNECIMENTO E INSTALAÇÃO. AF_10/2020</v>
      </c>
      <c r="O153" s="229" t="str">
        <f ca="1">Referencia.Unidade</f>
        <v>UN</v>
      </c>
      <c r="P153" s="232">
        <f ca="1">OFFSET(PLQ!$E$12,ROW($P153)-ROW(P$12),0)</f>
        <v>13</v>
      </c>
      <c r="Q153" s="228">
        <v>83.99</v>
      </c>
      <c r="R153" s="231" t="s">
        <v>7</v>
      </c>
      <c r="S153" s="121">
        <f ca="1">IF($A153="S",IF($Q$10="Preço Unitário (R$)",PO.CustoUnitario,ROUND(PO.CustoUnitario*(1+$Z153),15-13*$X$6)),0)</f>
        <v>101.29</v>
      </c>
      <c r="T153" s="98">
        <f ca="1">IF($A153="S",VTOTAL1,IF($A153=0,0,ROUND(SomaAgrup,15-13*$X$7)))</f>
        <v>1316.77</v>
      </c>
      <c r="U153" s="13" t="str">
        <f ca="1">IF($J153="","",IF($N153="","DESCRIÇÃO",IF(AND($J153="Serviço",$O153=""),"UNIDADE",IF($T153&lt;=0,"SEM VALOR",IF(AND($Y153&lt;&gt;"",$Q153&gt;$Y153),"ACIMA REF.","")))))</f>
        <v/>
      </c>
      <c r="V153" s="4" t="str">
        <f ca="1">IF(OR($A153=0,$A153="S",$A153&gt;CFF!$A$9),"",MAX(V$12:OFFSET(V153,-1,0))+1)</f>
        <v/>
      </c>
      <c r="W153" s="9" t="str">
        <f>IF(AND($J153="Serviço",$M153&lt;&gt;""),IF($L153="",$M153,CONCATENATE($L153,"-",$M153)))</f>
        <v>Sinapi-101876</v>
      </c>
      <c r="X153" s="4">
        <f ca="1">IF(AND(Fonte&lt;&gt;"",Código&lt;&gt;""),MATCH(Fonte&amp;" "&amp;IF(Fonte="sinapi",SUBSTITUTE(SUBSTITUTE(Código,"/00","/"),"/0","/"),Código),INDIRECT("'[Referência "&amp;_XLNM.DATABASE&amp;".xls]Banco'!$a:$a"),0),"X")</f>
        <v>2962</v>
      </c>
      <c r="Y153" s="121">
        <f ca="1">IF(Import.Desoneracao="sim",Referencia.Desonerado,Referencia.NaoDesonerado)</f>
        <v>83.99</v>
      </c>
      <c r="Z153" s="132">
        <f ca="1">ROUND(IF(ISNUMBER(R153),R153,IF(LEFT(R153,3)="BDI",HLOOKUP(R153,DADOS!$T$37:$X$38,2,FALSE),0)),15-11*$X$5)</f>
        <v>0.206</v>
      </c>
      <c r="AA153" s="4"/>
    </row>
    <row r="154" spans="1:27" ht="26.4">
      <c r="A154" t="str">
        <f t="shared" si="77"/>
        <v>S</v>
      </c>
      <c r="B154">
        <f t="shared" si="78"/>
        <v>0</v>
      </c>
      <c r="C154">
        <f ca="1" t="shared" si="79"/>
        <v>1</v>
      </c>
      <c r="D154">
        <f ca="1" t="shared" si="80"/>
        <v>20</v>
      </c>
      <c r="E154">
        <f ca="1" t="shared" si="81"/>
        <v>0</v>
      </c>
      <c r="F154">
        <f ca="1" t="shared" si="82"/>
        <v>0</v>
      </c>
      <c r="G154">
        <f ca="1" t="shared" si="83"/>
        <v>2</v>
      </c>
      <c r="H154">
        <f ca="1" t="shared" si="87"/>
        <v>0</v>
      </c>
      <c r="I154">
        <f ca="1" t="shared" si="88"/>
        <v>0</v>
      </c>
      <c r="J154" s="120" t="s">
        <v>103</v>
      </c>
      <c r="K154" s="162" t="str">
        <f ca="1" t="shared" si="84"/>
        <v>1.20.2.</v>
      </c>
      <c r="L154" s="209" t="s">
        <v>228</v>
      </c>
      <c r="M154" s="209" t="s">
        <v>354</v>
      </c>
      <c r="N154" s="230" t="str">
        <f ca="1">IF($A154="S",Referencia.Descricao,"(digite a descrição aqui)")</f>
        <v>ELETRODUTO FLEXÍVEL CORRUGADO, PVC, DN 25 MM (3/4"), PARA CIRCUITOS TERMINAIS, INSTALADO EM PAREDE - FORNECIMENTO E INSTALAÇÃO. AF_03/2023</v>
      </c>
      <c r="O154" s="229" t="str">
        <f ca="1">Referencia.Unidade</f>
        <v>M</v>
      </c>
      <c r="P154" s="232">
        <f ca="1">OFFSET(PLQ!$E$12,ROW($P154)-ROW(P$12),0)</f>
        <v>491.4</v>
      </c>
      <c r="Q154" s="228">
        <v>10.27</v>
      </c>
      <c r="R154" s="231" t="s">
        <v>7</v>
      </c>
      <c r="S154" s="121">
        <f ca="1" t="shared" si="74"/>
        <v>12.39</v>
      </c>
      <c r="T154" s="98">
        <f ca="1" t="shared" si="75"/>
        <v>6088.45</v>
      </c>
      <c r="U154" s="13" t="str">
        <f ca="1" t="shared" si="85"/>
        <v/>
      </c>
      <c r="V154" s="4" t="str">
        <f ca="1">IF(OR($A154=0,$A154="S",$A154&gt;CFF!$A$9),"",MAX(V$12:OFFSET(V154,-1,0))+1)</f>
        <v/>
      </c>
      <c r="W154" s="9" t="str">
        <f t="shared" si="86"/>
        <v>Sinapi-91854</v>
      </c>
      <c r="X154" s="4">
        <f ca="1" t="shared" si="76"/>
        <v>2752</v>
      </c>
      <c r="Y154" s="121">
        <f ca="1">IF(Import.Desoneracao="sim",Referencia.Desonerado,Referencia.NaoDesonerado)</f>
        <v>10.27</v>
      </c>
      <c r="Z154" s="132">
        <f ca="1">ROUND(IF(ISNUMBER(R154),R154,IF(LEFT(R154,3)="BDI",HLOOKUP(R154,DADOS!$T$37:$X$38,2,FALSE),0)),15-11*$X$5)</f>
        <v>0.206</v>
      </c>
      <c r="AA154" s="4"/>
    </row>
    <row r="155" spans="1:27" ht="26.4">
      <c r="A155" t="str">
        <f>CHOOSE(1+LOG(1+2*(J155="Meta")+4*(J155="Nível 2")+8*(J155="Nível 3")+16*(J155="Nível 4")+32*(J155="Serviço"),2),0,1,2,3,4,"S")</f>
        <v>S</v>
      </c>
      <c r="B155">
        <f>IF(OR(A155="S",A155=0),0,IF(ISERROR(I155),H155,SMALL(H155:I155,1)))</f>
        <v>0</v>
      </c>
      <c r="C155">
        <f ca="1">IF($A155=1,OFFSET(C155,-1,0)+1,OFFSET(C155,-1,0))</f>
        <v>1</v>
      </c>
      <c r="D155">
        <f ca="1">IF($A155=1,0,IF($A155=2,OFFSET(D155,-1,0)+1,OFFSET(D155,-1,0)))</f>
        <v>20</v>
      </c>
      <c r="E155">
        <f ca="1">IF(AND($A155&lt;=2,$A155&lt;&gt;0),0,IF($A155=3,OFFSET(E155,-1,0)+1,OFFSET(E155,-1,0)))</f>
        <v>0</v>
      </c>
      <c r="F155">
        <f ca="1">IF(AND($A155&lt;=3,$A155&lt;&gt;0),0,IF($A155=4,OFFSET(F155,-1,0)+1,OFFSET(F155,-1,0)))</f>
        <v>0</v>
      </c>
      <c r="G155">
        <f ca="1">IF(AND($A155&lt;=4,$A155&lt;&gt;0),0,IF($A155="S",OFFSET(G155,-1,0)+1,OFFSET(G155,-1,0)))</f>
        <v>3</v>
      </c>
      <c r="H155">
        <f ca="1" t="shared" si="87"/>
        <v>0</v>
      </c>
      <c r="I155">
        <f ca="1" t="shared" si="88"/>
        <v>0</v>
      </c>
      <c r="J155" s="120" t="s">
        <v>103</v>
      </c>
      <c r="K155" s="162" t="str">
        <f ca="1">IF($A155=0,"-",CONCATENATE(C155&amp;".",IF(AND($A$5&gt;=2,$A155&gt;=2),D155&amp;".",""),IF(AND($A$5&gt;=3,$A155&gt;=3),E155&amp;".",""),IF(AND($A$5&gt;=4,$A155&gt;=4),F155&amp;".",""),IF($A155="S",G155&amp;".","")))</f>
        <v>1.20.3.</v>
      </c>
      <c r="L155" s="209" t="s">
        <v>228</v>
      </c>
      <c r="M155" s="209" t="s">
        <v>405</v>
      </c>
      <c r="N155" s="230" t="str">
        <f ca="1">IF($A155="S",Referencia.Descricao,"(digite a descrição aqui)")</f>
        <v>ELETRODUTO RÍGIDO ROSCÁVEL, PVC, DN 25 MM (3/4"), PARA CIRCUITOS TERMINAIS, INSTALADO EM FORRO - FORNECIMENTO E INSTALAÇÃO. AF_03/2023</v>
      </c>
      <c r="O155" s="229" t="str">
        <f ca="1">Referencia.Unidade</f>
        <v>M</v>
      </c>
      <c r="P155" s="232">
        <f ca="1">OFFSET(PLQ!$E$12,ROW($P155)-ROW(P$12),0)</f>
        <v>780</v>
      </c>
      <c r="Q155" s="228">
        <v>12.53</v>
      </c>
      <c r="R155" s="231" t="s">
        <v>7</v>
      </c>
      <c r="S155" s="121">
        <f ca="1">IF($A155="S",IF($Q$10="Preço Unitário (R$)",PO.CustoUnitario,ROUND(PO.CustoUnitario*(1+$Z155),15-13*$X$6)),0)</f>
        <v>15.11</v>
      </c>
      <c r="T155" s="98">
        <f ca="1">IF($A155="S",VTOTAL1,IF($A155=0,0,ROUND(SomaAgrup,15-13*$X$7)))</f>
        <v>11785.8</v>
      </c>
      <c r="U155" s="13" t="str">
        <f ca="1">IF($J155="","",IF($N155="","DESCRIÇÃO",IF(AND($J155="Serviço",$O155=""),"UNIDADE",IF($T155&lt;=0,"SEM VALOR",IF(AND($Y155&lt;&gt;"",$Q155&gt;$Y155),"ACIMA REF.","")))))</f>
        <v/>
      </c>
      <c r="V155" s="4" t="str">
        <f ca="1">IF(OR($A155=0,$A155="S",$A155&gt;CFF!$A$9),"",MAX(V$12:OFFSET(V155,-1,0))+1)</f>
        <v/>
      </c>
      <c r="W155" s="9" t="str">
        <f>IF(AND($J155="Serviço",$M155&lt;&gt;""),IF($L155="",$M155,CONCATENATE($L155,"-",$M155)))</f>
        <v>Sinapi-91863</v>
      </c>
      <c r="X155" s="4">
        <f ca="1">IF(AND(Fonte&lt;&gt;"",Código&lt;&gt;""),MATCH(Fonte&amp;" "&amp;IF(Fonte="sinapi",SUBSTITUTE(SUBSTITUTE(Código,"/00","/"),"/0","/"),Código),INDIRECT("'[Referência "&amp;_XLNM.DATABASE&amp;".xls]Banco'!$a:$a"),0),"X")</f>
        <v>2760</v>
      </c>
      <c r="Y155" s="121">
        <f ca="1">IF(Import.Desoneracao="sim",Referencia.Desonerado,Referencia.NaoDesonerado)</f>
        <v>12.53</v>
      </c>
      <c r="Z155" s="132">
        <f ca="1">ROUND(IF(ISNUMBER(R155),R155,IF(LEFT(R155,3)="BDI",HLOOKUP(R155,DADOS!$T$37:$X$38,2,FALSE),0)),15-11*$X$5)</f>
        <v>0.206</v>
      </c>
      <c r="AA155" s="4"/>
    </row>
    <row r="156" spans="1:27" ht="39.6">
      <c r="A156" t="str">
        <f t="shared" si="77"/>
        <v>S</v>
      </c>
      <c r="B156">
        <f t="shared" si="78"/>
        <v>0</v>
      </c>
      <c r="C156">
        <f ca="1" t="shared" si="79"/>
        <v>1</v>
      </c>
      <c r="D156">
        <f ca="1" t="shared" si="80"/>
        <v>20</v>
      </c>
      <c r="E156">
        <f ca="1" t="shared" si="81"/>
        <v>0</v>
      </c>
      <c r="F156">
        <f ca="1" t="shared" si="82"/>
        <v>0</v>
      </c>
      <c r="G156">
        <f ca="1" t="shared" si="83"/>
        <v>4</v>
      </c>
      <c r="H156">
        <f ca="1" t="shared" si="87"/>
        <v>0</v>
      </c>
      <c r="I156">
        <f ca="1" t="shared" si="88"/>
        <v>0</v>
      </c>
      <c r="J156" s="120" t="s">
        <v>103</v>
      </c>
      <c r="K156" s="162" t="str">
        <f ca="1" t="shared" si="84"/>
        <v>1.20.4.</v>
      </c>
      <c r="L156" s="209" t="s">
        <v>228</v>
      </c>
      <c r="M156" s="209" t="s">
        <v>373</v>
      </c>
      <c r="N156" s="230" t="str">
        <f ca="1">IF($A156="S",Referencia.Descricao,"(digite a descrição aqui)")</f>
        <v>ELETRODUTO FLEXÍVEL CORRUGADO REFORÇADO, PVC, DN 25 MM (3/4"), PARA CIRCUITOS TERMINAIS, INSTALADO EM LAJE - FORNECIMENTO E INSTALAÇÃO. AF_03/2023</v>
      </c>
      <c r="O156" s="229" t="str">
        <f ca="1">Referencia.Unidade</f>
        <v>M</v>
      </c>
      <c r="P156" s="232">
        <f ca="1">OFFSET(PLQ!$E$12,ROW($P156)-ROW(P$12),0)</f>
        <v>169</v>
      </c>
      <c r="Q156" s="228">
        <v>9.25</v>
      </c>
      <c r="R156" s="231" t="s">
        <v>7</v>
      </c>
      <c r="S156" s="121">
        <f ca="1" t="shared" si="74"/>
        <v>11.16</v>
      </c>
      <c r="T156" s="98">
        <f ca="1" t="shared" si="75"/>
        <v>1886.04</v>
      </c>
      <c r="U156" s="13" t="str">
        <f ca="1" t="shared" si="85"/>
        <v/>
      </c>
      <c r="V156" s="4" t="str">
        <f ca="1">IF(OR($A156=0,$A156="S",$A156&gt;CFF!$A$9),"",MAX(V$12:OFFSET(V156,-1,0))+1)</f>
        <v/>
      </c>
      <c r="W156" s="9" t="str">
        <f t="shared" si="86"/>
        <v>Sinapi-91845</v>
      </c>
      <c r="X156" s="4">
        <f ca="1" t="shared" si="76"/>
        <v>2744</v>
      </c>
      <c r="Y156" s="121">
        <f ca="1">IF(Import.Desoneracao="sim",Referencia.Desonerado,Referencia.NaoDesonerado)</f>
        <v>9.25</v>
      </c>
      <c r="Z156" s="132">
        <f ca="1">ROUND(IF(ISNUMBER(R156),R156,IF(LEFT(R156,3)="BDI",HLOOKUP(R156,DADOS!$T$37:$X$38,2,FALSE),0)),15-11*$X$5)</f>
        <v>0.206</v>
      </c>
      <c r="AA156" s="4"/>
    </row>
    <row r="157" spans="1:27" ht="26.4">
      <c r="A157" t="str">
        <f t="shared" si="77"/>
        <v>S</v>
      </c>
      <c r="B157">
        <f t="shared" si="78"/>
        <v>0</v>
      </c>
      <c r="C157">
        <f ca="1" t="shared" si="79"/>
        <v>1</v>
      </c>
      <c r="D157">
        <f ca="1" t="shared" si="80"/>
        <v>20</v>
      </c>
      <c r="E157">
        <f ca="1" t="shared" si="81"/>
        <v>0</v>
      </c>
      <c r="F157">
        <f ca="1" t="shared" si="82"/>
        <v>0</v>
      </c>
      <c r="G157">
        <f ca="1" t="shared" si="83"/>
        <v>5</v>
      </c>
      <c r="H157">
        <f ca="1" t="shared" si="87"/>
        <v>0</v>
      </c>
      <c r="I157">
        <f ca="1" t="shared" si="88"/>
        <v>0</v>
      </c>
      <c r="J157" s="120" t="s">
        <v>103</v>
      </c>
      <c r="K157" s="162" t="str">
        <f ca="1" t="shared" si="84"/>
        <v>1.20.5.</v>
      </c>
      <c r="L157" s="209" t="s">
        <v>228</v>
      </c>
      <c r="M157" s="209" t="s">
        <v>355</v>
      </c>
      <c r="N157" s="230" t="str">
        <f ca="1">IF($A157="S",Referencia.Descricao,"(digite a descrição aqui)")</f>
        <v>CAIXA OCTOGONAL 3" X 3", PVC, INSTALADA EM LAJE - FORNECIMENTO E INSTALAÇÃO. AF_03/2023</v>
      </c>
      <c r="O157" s="229" t="str">
        <f ca="1">Referencia.Unidade</f>
        <v>UN</v>
      </c>
      <c r="P157" s="232">
        <f ca="1">OFFSET(PLQ!$E$12,ROW($P157)-ROW(P$12),0)</f>
        <v>39</v>
      </c>
      <c r="Q157" s="228">
        <v>16.48</v>
      </c>
      <c r="R157" s="231" t="s">
        <v>7</v>
      </c>
      <c r="S157" s="121">
        <f ca="1" t="shared" si="74"/>
        <v>19.87</v>
      </c>
      <c r="T157" s="98">
        <f ca="1" t="shared" si="75"/>
        <v>774.93</v>
      </c>
      <c r="U157" s="13" t="str">
        <f ca="1" t="shared" si="85"/>
        <v/>
      </c>
      <c r="V157" s="4" t="str">
        <f ca="1">IF(OR($A157=0,$A157="S",$A157&gt;CFF!$A$9),"",MAX(V$12:OFFSET(V157,-1,0))+1)</f>
        <v/>
      </c>
      <c r="W157" s="9" t="str">
        <f t="shared" si="86"/>
        <v>Sinapi-91937</v>
      </c>
      <c r="X157" s="4">
        <f ca="1" t="shared" si="76"/>
        <v>2866</v>
      </c>
      <c r="Y157" s="121">
        <f ca="1">IF(Import.Desoneracao="sim",Referencia.Desonerado,Referencia.NaoDesonerado)</f>
        <v>16.48</v>
      </c>
      <c r="Z157" s="132">
        <f ca="1">ROUND(IF(ISNUMBER(R157),R157,IF(LEFT(R157,3)="BDI",HLOOKUP(R157,DADOS!$T$37:$X$38,2,FALSE),0)),15-11*$X$5)</f>
        <v>0.206</v>
      </c>
      <c r="AA157" s="4"/>
    </row>
    <row r="158" spans="1:27" ht="26.4">
      <c r="A158" t="str">
        <f t="shared" si="77"/>
        <v>S</v>
      </c>
      <c r="B158">
        <f t="shared" si="78"/>
        <v>0</v>
      </c>
      <c r="C158">
        <f ca="1" t="shared" si="79"/>
        <v>1</v>
      </c>
      <c r="D158">
        <f ca="1" t="shared" si="80"/>
        <v>20</v>
      </c>
      <c r="E158">
        <f ca="1" t="shared" si="81"/>
        <v>0</v>
      </c>
      <c r="F158">
        <f ca="1" t="shared" si="82"/>
        <v>0</v>
      </c>
      <c r="G158">
        <f ca="1" t="shared" si="83"/>
        <v>6</v>
      </c>
      <c r="H158">
        <f ca="1" t="shared" si="87"/>
        <v>0</v>
      </c>
      <c r="I158">
        <f ca="1" t="shared" si="88"/>
        <v>0</v>
      </c>
      <c r="J158" s="120" t="s">
        <v>103</v>
      </c>
      <c r="K158" s="162" t="str">
        <f ca="1" t="shared" si="84"/>
        <v>1.20.6.</v>
      </c>
      <c r="L158" s="209" t="s">
        <v>228</v>
      </c>
      <c r="M158" s="209" t="s">
        <v>402</v>
      </c>
      <c r="N158" s="230" t="str">
        <f ca="1">IF($A158="S",Referencia.Descricao,"(digite a descrição aqui)")</f>
        <v>CAIXA RETANGULAR 4" X 2" MÉDIA (1,30 M DO PISO), PVC, INSTALADA EM PAREDE - FORNECIMENTO E INSTALAÇÃO. AF_03/2023</v>
      </c>
      <c r="O158" s="229" t="str">
        <f ca="1">Referencia.Unidade</f>
        <v>UN</v>
      </c>
      <c r="P158" s="232">
        <f ca="1">OFFSET(PLQ!$E$12,ROW($P158)-ROW(P$12),0)</f>
        <v>299</v>
      </c>
      <c r="Q158" s="228">
        <v>18.41</v>
      </c>
      <c r="R158" s="231" t="s">
        <v>7</v>
      </c>
      <c r="S158" s="121">
        <f ca="1" t="shared" si="74"/>
        <v>22.2</v>
      </c>
      <c r="T158" s="98">
        <f ca="1" t="shared" si="75"/>
        <v>6637.8</v>
      </c>
      <c r="U158" s="13" t="str">
        <f ca="1" t="shared" si="85"/>
        <v/>
      </c>
      <c r="V158" s="4" t="str">
        <f ca="1">IF(OR($A158=0,$A158="S",$A158&gt;CFF!$A$9),"",MAX(V$12:OFFSET(V158,-1,0))+1)</f>
        <v/>
      </c>
      <c r="W158" s="9" t="str">
        <f t="shared" si="86"/>
        <v>Sinapi-91940</v>
      </c>
      <c r="X158" s="4">
        <f ca="1" t="shared" si="76"/>
        <v>2868</v>
      </c>
      <c r="Y158" s="121">
        <f ca="1">IF(Import.Desoneracao="sim",Referencia.Desonerado,Referencia.NaoDesonerado)</f>
        <v>18.41</v>
      </c>
      <c r="Z158" s="132">
        <f ca="1">ROUND(IF(ISNUMBER(R158),R158,IF(LEFT(R158,3)="BDI",HLOOKUP(R158,DADOS!$T$37:$X$38,2,FALSE),0)),15-11*$X$5)</f>
        <v>0.206</v>
      </c>
      <c r="AA158" s="4"/>
    </row>
    <row r="159" spans="1:27" ht="26.4">
      <c r="A159" t="str">
        <f t="shared" si="77"/>
        <v>S</v>
      </c>
      <c r="B159">
        <f t="shared" si="78"/>
        <v>0</v>
      </c>
      <c r="C159">
        <f ca="1" t="shared" si="79"/>
        <v>1</v>
      </c>
      <c r="D159">
        <f ca="1" t="shared" si="80"/>
        <v>20</v>
      </c>
      <c r="E159">
        <f ca="1" t="shared" si="81"/>
        <v>0</v>
      </c>
      <c r="F159">
        <f ca="1" t="shared" si="82"/>
        <v>0</v>
      </c>
      <c r="G159">
        <f ca="1" t="shared" si="83"/>
        <v>7</v>
      </c>
      <c r="H159">
        <f ca="1" t="shared" si="87"/>
        <v>0</v>
      </c>
      <c r="I159">
        <f ca="1" t="shared" si="88"/>
        <v>0</v>
      </c>
      <c r="J159" s="120" t="s">
        <v>103</v>
      </c>
      <c r="K159" s="162" t="str">
        <f ca="1" t="shared" si="84"/>
        <v>1.20.7.</v>
      </c>
      <c r="L159" s="209" t="s">
        <v>228</v>
      </c>
      <c r="M159" s="209" t="s">
        <v>357</v>
      </c>
      <c r="N159" s="230" t="str">
        <f ca="1">IF($A159="S",Referencia.Descricao,"(digite a descrição aqui)")</f>
        <v>CABO DE COBRE FLEXÍVEL ISOLADO, 1,5 MM², ANTI-CHAMA 450/750 V, PARA CIRCUITOS TERMINAIS - FORNECIMENTO E INSTALAÇÃO. AF_03/2023</v>
      </c>
      <c r="O159" s="229" t="str">
        <f ca="1">Referencia.Unidade</f>
        <v>M</v>
      </c>
      <c r="P159" s="232">
        <f ca="1">OFFSET(PLQ!$E$12,ROW($P159)-ROW(P$12),0)</f>
        <v>694.2</v>
      </c>
      <c r="Q159" s="228">
        <v>2.76</v>
      </c>
      <c r="R159" s="231" t="s">
        <v>7</v>
      </c>
      <c r="S159" s="121">
        <f ca="1" t="shared" si="74"/>
        <v>3.33</v>
      </c>
      <c r="T159" s="98">
        <f ca="1" t="shared" si="75"/>
        <v>2311.69</v>
      </c>
      <c r="U159" s="13" t="str">
        <f ca="1" t="shared" si="85"/>
        <v/>
      </c>
      <c r="V159" s="4" t="str">
        <f ca="1">IF(OR($A159=0,$A159="S",$A159&gt;CFF!$A$9),"",MAX(V$12:OFFSET(V159,-1,0))+1)</f>
        <v/>
      </c>
      <c r="W159" s="9" t="str">
        <f t="shared" si="86"/>
        <v>Sinapi-91924</v>
      </c>
      <c r="X159" s="4">
        <f ca="1" t="shared" si="76"/>
        <v>2833</v>
      </c>
      <c r="Y159" s="121">
        <f ca="1">IF(Import.Desoneracao="sim",Referencia.Desonerado,Referencia.NaoDesonerado)</f>
        <v>2.76</v>
      </c>
      <c r="Z159" s="132">
        <f ca="1">ROUND(IF(ISNUMBER(R159),R159,IF(LEFT(R159,3)="BDI",HLOOKUP(R159,DADOS!$T$37:$X$38,2,FALSE),0)),15-11*$X$5)</f>
        <v>0.206</v>
      </c>
      <c r="AA159" s="4"/>
    </row>
    <row r="160" spans="1:27" ht="26.4">
      <c r="A160" t="str">
        <f t="shared" si="77"/>
        <v>S</v>
      </c>
      <c r="B160">
        <f t="shared" si="78"/>
        <v>0</v>
      </c>
      <c r="C160">
        <f ca="1" t="shared" si="79"/>
        <v>1</v>
      </c>
      <c r="D160">
        <f ca="1" t="shared" si="80"/>
        <v>20</v>
      </c>
      <c r="E160">
        <f ca="1" t="shared" si="81"/>
        <v>0</v>
      </c>
      <c r="F160">
        <f ca="1" t="shared" si="82"/>
        <v>0</v>
      </c>
      <c r="G160">
        <f ca="1" t="shared" si="83"/>
        <v>8</v>
      </c>
      <c r="H160">
        <f ca="1" t="shared" si="87"/>
        <v>0</v>
      </c>
      <c r="I160">
        <f ca="1" t="shared" si="88"/>
        <v>0</v>
      </c>
      <c r="J160" s="120" t="s">
        <v>103</v>
      </c>
      <c r="K160" s="162" t="str">
        <f ca="1" t="shared" si="84"/>
        <v>1.20.8.</v>
      </c>
      <c r="L160" s="209" t="s">
        <v>228</v>
      </c>
      <c r="M160" s="209" t="s">
        <v>358</v>
      </c>
      <c r="N160" s="230" t="str">
        <f ca="1">IF($A160="S",Referencia.Descricao,"(digite a descrição aqui)")</f>
        <v>CABO DE COBRE FLEXÍVEL ISOLADO, 2,5 MM², ANTI-CHAMA 450/750 V, PARA CIRCUITOS TERMINAIS - FORNECIMENTO E INSTALAÇÃO. AF_03/2023</v>
      </c>
      <c r="O160" s="229" t="str">
        <f ca="1">Referencia.Unidade</f>
        <v>M</v>
      </c>
      <c r="P160" s="232">
        <f ca="1">OFFSET(PLQ!$E$12,ROW($P160)-ROW(P$12),0)</f>
        <v>845</v>
      </c>
      <c r="Q160" s="228">
        <v>3.98</v>
      </c>
      <c r="R160" s="231" t="s">
        <v>7</v>
      </c>
      <c r="S160" s="121">
        <f ca="1" t="shared" si="74"/>
        <v>4.8</v>
      </c>
      <c r="T160" s="98">
        <f ca="1" t="shared" si="75"/>
        <v>4056</v>
      </c>
      <c r="U160" s="13" t="str">
        <f ca="1" t="shared" si="85"/>
        <v/>
      </c>
      <c r="V160" s="4" t="str">
        <f ca="1">IF(OR($A160=0,$A160="S",$A160&gt;CFF!$A$9),"",MAX(V$12:OFFSET(V160,-1,0))+1)</f>
        <v/>
      </c>
      <c r="W160" s="9" t="str">
        <f t="shared" si="86"/>
        <v>Sinapi-91926</v>
      </c>
      <c r="X160" s="4">
        <f ca="1" t="shared" si="76"/>
        <v>2835</v>
      </c>
      <c r="Y160" s="121">
        <f ca="1">IF(Import.Desoneracao="sim",Referencia.Desonerado,Referencia.NaoDesonerado)</f>
        <v>3.98</v>
      </c>
      <c r="Z160" s="132">
        <f ca="1">ROUND(IF(ISNUMBER(R160),R160,IF(LEFT(R160,3)="BDI",HLOOKUP(R160,DADOS!$T$37:$X$38,2,FALSE),0)),15-11*$X$5)</f>
        <v>0.206</v>
      </c>
      <c r="AA160" s="4"/>
    </row>
    <row r="161" spans="1:27" ht="26.4">
      <c r="A161" t="str">
        <f>CHOOSE(1+LOG(1+2*(J161="Meta")+4*(J161="Nível 2")+8*(J161="Nível 3")+16*(J161="Nível 4")+32*(J161="Serviço"),2),0,1,2,3,4,"S")</f>
        <v>S</v>
      </c>
      <c r="B161">
        <f>IF(OR(A161="S",A161=0),0,IF(ISERROR(I161),H161,SMALL(H161:I161,1)))</f>
        <v>0</v>
      </c>
      <c r="C161">
        <f ca="1">IF($A161=1,OFFSET(C161,-1,0)+1,OFFSET(C161,-1,0))</f>
        <v>1</v>
      </c>
      <c r="D161">
        <f ca="1">IF($A161=1,0,IF($A161=2,OFFSET(D161,-1,0)+1,OFFSET(D161,-1,0)))</f>
        <v>20</v>
      </c>
      <c r="E161">
        <f ca="1">IF(AND($A161&lt;=2,$A161&lt;&gt;0),0,IF($A161=3,OFFSET(E161,-1,0)+1,OFFSET(E161,-1,0)))</f>
        <v>0</v>
      </c>
      <c r="F161">
        <f ca="1">IF(AND($A161&lt;=3,$A161&lt;&gt;0),0,IF($A161=4,OFFSET(F161,-1,0)+1,OFFSET(F161,-1,0)))</f>
        <v>0</v>
      </c>
      <c r="G161">
        <f ca="1">IF(AND($A161&lt;=4,$A161&lt;&gt;0),0,IF($A161="S",OFFSET(G161,-1,0)+1,OFFSET(G161,-1,0)))</f>
        <v>9</v>
      </c>
      <c r="H161">
        <f ca="1" t="shared" si="87"/>
        <v>0</v>
      </c>
      <c r="I161">
        <f ca="1" t="shared" si="88"/>
        <v>0</v>
      </c>
      <c r="J161" s="120" t="s">
        <v>103</v>
      </c>
      <c r="K161" s="162" t="str">
        <f ca="1">IF($A161=0,"-",CONCATENATE(C161&amp;".",IF(AND($A$5&gt;=2,$A161&gt;=2),D161&amp;".",""),IF(AND($A$5&gt;=3,$A161&gt;=3),E161&amp;".",""),IF(AND($A$5&gt;=4,$A161&gt;=4),F161&amp;".",""),IF($A161="S",G161&amp;".","")))</f>
        <v>1.20.9.</v>
      </c>
      <c r="L161" s="209" t="s">
        <v>228</v>
      </c>
      <c r="M161" s="209" t="s">
        <v>374</v>
      </c>
      <c r="N161" s="230" t="str">
        <f ca="1">IF($A161="S",Referencia.Descricao,"(digite a descrição aqui)")</f>
        <v>CABO DE COBRE FLEXÍVEL ISOLADO, 4 MM², ANTI-CHAMA 450/750 V, PARA CIRCUITOS TERMINAIS - FORNECIMENTO E INSTALAÇÃO. AF_03/2023</v>
      </c>
      <c r="O161" s="229" t="str">
        <f ca="1">Referencia.Unidade</f>
        <v>M</v>
      </c>
      <c r="P161" s="232">
        <f ca="1">OFFSET(PLQ!$E$12,ROW($P161)-ROW(P$12),0)</f>
        <v>84.5</v>
      </c>
      <c r="Q161" s="228">
        <v>6.15</v>
      </c>
      <c r="R161" s="231" t="s">
        <v>7</v>
      </c>
      <c r="S161" s="121">
        <f ca="1">IF($A161="S",IF($Q$10="Preço Unitário (R$)",PO.CustoUnitario,ROUND(PO.CustoUnitario*(1+$Z161),15-13*$X$6)),0)</f>
        <v>7.42</v>
      </c>
      <c r="T161" s="98">
        <f ca="1">IF($A161="S",VTOTAL1,IF($A161=0,0,ROUND(SomaAgrup,15-13*$X$7)))</f>
        <v>626.99</v>
      </c>
      <c r="U161" s="13" t="str">
        <f ca="1">IF($J161="","",IF($N161="","DESCRIÇÃO",IF(AND($J161="Serviço",$O161=""),"UNIDADE",IF($T161&lt;=0,"SEM VALOR",IF(AND($Y161&lt;&gt;"",$Q161&gt;$Y161),"ACIMA REF.","")))))</f>
        <v/>
      </c>
      <c r="V161" s="4" t="str">
        <f ca="1">IF(OR($A161=0,$A161="S",$A161&gt;CFF!$A$9),"",MAX(V$12:OFFSET(V161,-1,0))+1)</f>
        <v/>
      </c>
      <c r="W161" s="9" t="str">
        <f>IF(AND($J161="Serviço",$M161&lt;&gt;""),IF($L161="",$M161,CONCATENATE($L161,"-",$M161)))</f>
        <v>Sinapi-91928</v>
      </c>
      <c r="X161" s="4">
        <f ca="1">IF(AND(Fonte&lt;&gt;"",Código&lt;&gt;""),MATCH(Fonte&amp;" "&amp;IF(Fonte="sinapi",SUBSTITUTE(SUBSTITUTE(Código,"/00","/"),"/0","/"),Código),INDIRECT("'[Referência "&amp;_XLNM.DATABASE&amp;".xls]Banco'!$a:$a"),0),"X")</f>
        <v>2837</v>
      </c>
      <c r="Y161" s="121">
        <f ca="1">IF(Import.Desoneracao="sim",Referencia.Desonerado,Referencia.NaoDesonerado)</f>
        <v>6.15</v>
      </c>
      <c r="Z161" s="132">
        <f ca="1">ROUND(IF(ISNUMBER(R161),R161,IF(LEFT(R161,3)="BDI",HLOOKUP(R161,DADOS!$T$37:$X$38,2,FALSE),0)),15-11*$X$5)</f>
        <v>0.206</v>
      </c>
      <c r="AA161" s="4"/>
    </row>
    <row r="162" spans="1:27" ht="26.4">
      <c r="A162" t="str">
        <f t="shared" si="77"/>
        <v>S</v>
      </c>
      <c r="B162">
        <f t="shared" si="78"/>
        <v>0</v>
      </c>
      <c r="C162">
        <f ca="1" t="shared" si="79"/>
        <v>1</v>
      </c>
      <c r="D162">
        <f ca="1" t="shared" si="80"/>
        <v>20</v>
      </c>
      <c r="E162">
        <f ca="1" t="shared" si="81"/>
        <v>0</v>
      </c>
      <c r="F162">
        <f ca="1" t="shared" si="82"/>
        <v>0</v>
      </c>
      <c r="G162">
        <f ca="1" t="shared" si="83"/>
        <v>10</v>
      </c>
      <c r="H162">
        <f ca="1" t="shared" si="87"/>
        <v>0</v>
      </c>
      <c r="I162">
        <f ca="1" t="shared" si="88"/>
        <v>0</v>
      </c>
      <c r="J162" s="120" t="s">
        <v>103</v>
      </c>
      <c r="K162" s="162" t="str">
        <f ca="1" t="shared" si="84"/>
        <v>1.20.10.</v>
      </c>
      <c r="L162" s="209" t="s">
        <v>228</v>
      </c>
      <c r="M162" s="209" t="s">
        <v>359</v>
      </c>
      <c r="N162" s="230" t="str">
        <f ca="1">IF($A162="S",Referencia.Descricao,"(digite a descrição aqui)")</f>
        <v>CABO DE COBRE FLEXÍVEL ISOLADO, 6 MM², ANTI-CHAMA 450/750 V, PARA CIRCUITOS TERMINAIS - FORNECIMENTO E INSTALAÇÃO. AF_03/2023</v>
      </c>
      <c r="O162" s="229" t="str">
        <f ca="1">Referencia.Unidade</f>
        <v>M</v>
      </c>
      <c r="P162" s="232">
        <f ca="1">OFFSET(PLQ!$E$12,ROW($P162)-ROW(P$12),0)</f>
        <v>36.4</v>
      </c>
      <c r="Q162" s="228">
        <v>8.58</v>
      </c>
      <c r="R162" s="231" t="s">
        <v>7</v>
      </c>
      <c r="S162" s="121">
        <f ca="1" t="shared" si="74"/>
        <v>10.35</v>
      </c>
      <c r="T162" s="98">
        <f ca="1" t="shared" si="75"/>
        <v>376.74</v>
      </c>
      <c r="U162" s="13" t="str">
        <f ca="1" t="shared" si="85"/>
        <v/>
      </c>
      <c r="V162" s="4" t="str">
        <f ca="1">IF(OR($A162=0,$A162="S",$A162&gt;CFF!$A$9),"",MAX(V$12:OFFSET(V162,-1,0))+1)</f>
        <v/>
      </c>
      <c r="W162" s="9" t="str">
        <f t="shared" si="86"/>
        <v>Sinapi-91930</v>
      </c>
      <c r="X162" s="4">
        <f ca="1" t="shared" si="76"/>
        <v>2839</v>
      </c>
      <c r="Y162" s="121">
        <f ca="1">IF(Import.Desoneracao="sim",Referencia.Desonerado,Referencia.NaoDesonerado)</f>
        <v>8.58</v>
      </c>
      <c r="Z162" s="132">
        <f ca="1">ROUND(IF(ISNUMBER(R162),R162,IF(LEFT(R162,3)="BDI",HLOOKUP(R162,DADOS!$T$37:$X$38,2,FALSE),0)),15-11*$X$5)</f>
        <v>0.206</v>
      </c>
      <c r="AA162" s="4"/>
    </row>
    <row r="163" spans="1:27" ht="26.4">
      <c r="A163" t="str">
        <f>CHOOSE(1+LOG(1+2*(J163="Meta")+4*(J163="Nível 2")+8*(J163="Nível 3")+16*(J163="Nível 4")+32*(J163="Serviço"),2),0,1,2,3,4,"S")</f>
        <v>S</v>
      </c>
      <c r="B163">
        <f>IF(OR(A163="S",A163=0),0,IF(ISERROR(I163),H163,SMALL(H163:I163,1)))</f>
        <v>0</v>
      </c>
      <c r="C163">
        <f ca="1">IF($A163=1,OFFSET(C163,-1,0)+1,OFFSET(C163,-1,0))</f>
        <v>1</v>
      </c>
      <c r="D163">
        <f ca="1">IF($A163=1,0,IF($A163=2,OFFSET(D163,-1,0)+1,OFFSET(D163,-1,0)))</f>
        <v>20</v>
      </c>
      <c r="E163">
        <f ca="1">IF(AND($A163&lt;=2,$A163&lt;&gt;0),0,IF($A163=3,OFFSET(E163,-1,0)+1,OFFSET(E163,-1,0)))</f>
        <v>0</v>
      </c>
      <c r="F163">
        <f ca="1">IF(AND($A163&lt;=3,$A163&lt;&gt;0),0,IF($A163=4,OFFSET(F163,-1,0)+1,OFFSET(F163,-1,0)))</f>
        <v>0</v>
      </c>
      <c r="G163">
        <f ca="1">IF(AND($A163&lt;=4,$A163&lt;&gt;0),0,IF($A163="S",OFFSET(G163,-1,0)+1,OFFSET(G163,-1,0)))</f>
        <v>11</v>
      </c>
      <c r="H163">
        <f ca="1" t="shared" si="87"/>
        <v>0</v>
      </c>
      <c r="I163">
        <f ca="1" t="shared" si="88"/>
        <v>0</v>
      </c>
      <c r="J163" s="120" t="s">
        <v>103</v>
      </c>
      <c r="K163" s="162" t="str">
        <f ca="1">IF($A163=0,"-",CONCATENATE(C163&amp;".",IF(AND($A$5&gt;=2,$A163&gt;=2),D163&amp;".",""),IF(AND($A$5&gt;=3,$A163&gt;=3),E163&amp;".",""),IF(AND($A$5&gt;=4,$A163&gt;=4),F163&amp;".",""),IF($A163="S",G163&amp;".","")))</f>
        <v>1.20.11.</v>
      </c>
      <c r="L163" s="209" t="s">
        <v>228</v>
      </c>
      <c r="M163" s="209" t="s">
        <v>375</v>
      </c>
      <c r="N163" s="230" t="str">
        <f ca="1">IF($A163="S",Referencia.Descricao,"(digite a descrição aqui)")</f>
        <v>CABO DE COBRE FLEXÍVEL ISOLADO, 16 MM², ANTI-CHAMA 450/750 V, PARA CIRCUITOS TERMINAIS - FORNECIMENTO E INSTALAÇÃO. AF_03/2023</v>
      </c>
      <c r="O163" s="229" t="str">
        <f ca="1">Referencia.Unidade</f>
        <v>M</v>
      </c>
      <c r="P163" s="232">
        <f ca="1">OFFSET(PLQ!$E$12,ROW($P163)-ROW(P$12),0)</f>
        <v>195</v>
      </c>
      <c r="Q163" s="228">
        <v>22.09</v>
      </c>
      <c r="R163" s="231" t="s">
        <v>7</v>
      </c>
      <c r="S163" s="121">
        <f ca="1">IF($A163="S",IF($Q$10="Preço Unitário (R$)",PO.CustoUnitario,ROUND(PO.CustoUnitario*(1+$Z163),15-13*$X$6)),0)</f>
        <v>26.64</v>
      </c>
      <c r="T163" s="98">
        <f ca="1">IF($A163="S",VTOTAL1,IF($A163=0,0,ROUND(SomaAgrup,15-13*$X$7)))</f>
        <v>5194.8</v>
      </c>
      <c r="U163" s="13" t="str">
        <f ca="1">IF($J163="","",IF($N163="","DESCRIÇÃO",IF(AND($J163="Serviço",$O163=""),"UNIDADE",IF($T163&lt;=0,"SEM VALOR",IF(AND($Y163&lt;&gt;"",$Q163&gt;$Y163),"ACIMA REF.","")))))</f>
        <v/>
      </c>
      <c r="V163" s="4" t="str">
        <f ca="1">IF(OR($A163=0,$A163="S",$A163&gt;CFF!$A$9),"",MAX(V$12:OFFSET(V163,-1,0))+1)</f>
        <v/>
      </c>
      <c r="W163" s="9" t="str">
        <f>IF(AND($J163="Serviço",$M163&lt;&gt;""),IF($L163="",$M163,CONCATENATE($L163,"-",$M163)))</f>
        <v>Sinapi-91934</v>
      </c>
      <c r="X163" s="4">
        <f ca="1">IF(AND(Fonte&lt;&gt;"",Código&lt;&gt;""),MATCH(Fonte&amp;" "&amp;IF(Fonte="sinapi",SUBSTITUTE(SUBSTITUTE(Código,"/00","/"),"/0","/"),Código),INDIRECT("'[Referência "&amp;_XLNM.DATABASE&amp;".xls]Banco'!$a:$a"),0),"X")</f>
        <v>2843</v>
      </c>
      <c r="Y163" s="121">
        <f ca="1">IF(Import.Desoneracao="sim",Referencia.Desonerado,Referencia.NaoDesonerado)</f>
        <v>22.09</v>
      </c>
      <c r="Z163" s="132">
        <f ca="1">ROUND(IF(ISNUMBER(R163),R163,IF(LEFT(R163,3)="BDI",HLOOKUP(R163,DADOS!$T$37:$X$38,2,FALSE),0)),15-11*$X$5)</f>
        <v>0.206</v>
      </c>
      <c r="AA163" s="4"/>
    </row>
    <row r="164" spans="1:27" ht="26.4">
      <c r="A164" t="str">
        <f t="shared" si="77"/>
        <v>S</v>
      </c>
      <c r="B164">
        <f t="shared" si="78"/>
        <v>0</v>
      </c>
      <c r="C164">
        <f ca="1" t="shared" si="79"/>
        <v>1</v>
      </c>
      <c r="D164">
        <f ca="1" t="shared" si="80"/>
        <v>20</v>
      </c>
      <c r="E164">
        <f ca="1" t="shared" si="81"/>
        <v>0</v>
      </c>
      <c r="F164">
        <f ca="1" t="shared" si="82"/>
        <v>0</v>
      </c>
      <c r="G164">
        <f ca="1" t="shared" si="83"/>
        <v>12</v>
      </c>
      <c r="H164">
        <f ca="1" t="shared" si="87"/>
        <v>0</v>
      </c>
      <c r="I164">
        <f ca="1" t="shared" si="88"/>
        <v>0</v>
      </c>
      <c r="J164" s="120" t="s">
        <v>103</v>
      </c>
      <c r="K164" s="162" t="str">
        <f ca="1" t="shared" si="84"/>
        <v>1.20.12.</v>
      </c>
      <c r="L164" s="209" t="s">
        <v>228</v>
      </c>
      <c r="M164" s="209" t="s">
        <v>376</v>
      </c>
      <c r="N164" s="230" t="str">
        <f ca="1">IF($A164="S",Referencia.Descricao,"(digite a descrição aqui)")</f>
        <v>INTERRUPTOR SIMPLES (2 MÓDULOS), 10A/250V, INCLUINDO SUPORTE E PLACA - FORNECIMENTO E INSTALAÇÃO. AF_03/2023</v>
      </c>
      <c r="O164" s="229" t="str">
        <f ca="1">Referencia.Unidade</f>
        <v>UN</v>
      </c>
      <c r="P164" s="232">
        <f ca="1">OFFSET(PLQ!$E$12,ROW($P164)-ROW(P$12),0)</f>
        <v>26</v>
      </c>
      <c r="Q164" s="228">
        <v>47.56</v>
      </c>
      <c r="R164" s="231" t="s">
        <v>7</v>
      </c>
      <c r="S164" s="121">
        <f ca="1" t="shared" si="74"/>
        <v>57.36</v>
      </c>
      <c r="T164" s="98">
        <f ca="1" t="shared" si="75"/>
        <v>1491.36</v>
      </c>
      <c r="U164" s="13" t="str">
        <f ca="1" t="shared" si="85"/>
        <v/>
      </c>
      <c r="V164" s="4" t="str">
        <f ca="1">IF(OR($A164=0,$A164="S",$A164&gt;CFF!$A$9),"",MAX(V$12:OFFSET(V164,-1,0))+1)</f>
        <v/>
      </c>
      <c r="W164" s="9" t="str">
        <f t="shared" si="86"/>
        <v>Sinapi-91959</v>
      </c>
      <c r="X164" s="4">
        <f ca="1" t="shared" si="76"/>
        <v>3000</v>
      </c>
      <c r="Y164" s="121">
        <f ca="1">IF(Import.Desoneracao="sim",Referencia.Desonerado,Referencia.NaoDesonerado)</f>
        <v>47.56</v>
      </c>
      <c r="Z164" s="132">
        <f ca="1">ROUND(IF(ISNUMBER(R164),R164,IF(LEFT(R164,3)="BDI",HLOOKUP(R164,DADOS!$T$37:$X$38,2,FALSE),0)),15-11*$X$5)</f>
        <v>0.206</v>
      </c>
      <c r="AA164" s="4"/>
    </row>
    <row r="165" spans="1:27" ht="26.4">
      <c r="A165" t="str">
        <f>CHOOSE(1+LOG(1+2*(J165="Meta")+4*(J165="Nível 2")+8*(J165="Nível 3")+16*(J165="Nível 4")+32*(J165="Serviço"),2),0,1,2,3,4,"S")</f>
        <v>S</v>
      </c>
      <c r="B165">
        <f>IF(OR(A165="S",A165=0),0,IF(ISERROR(I165),H165,SMALL(H165:I165,1)))</f>
        <v>0</v>
      </c>
      <c r="C165">
        <f ca="1">IF($A165=1,OFFSET(C165,-1,0)+1,OFFSET(C165,-1,0))</f>
        <v>1</v>
      </c>
      <c r="D165">
        <f ca="1">IF($A165=1,0,IF($A165=2,OFFSET(D165,-1,0)+1,OFFSET(D165,-1,0)))</f>
        <v>20</v>
      </c>
      <c r="E165">
        <f ca="1">IF(AND($A165&lt;=2,$A165&lt;&gt;0),0,IF($A165=3,OFFSET(E165,-1,0)+1,OFFSET(E165,-1,0)))</f>
        <v>0</v>
      </c>
      <c r="F165">
        <f ca="1">IF(AND($A165&lt;=3,$A165&lt;&gt;0),0,IF($A165=4,OFFSET(F165,-1,0)+1,OFFSET(F165,-1,0)))</f>
        <v>0</v>
      </c>
      <c r="G165">
        <f ca="1">IF(AND($A165&lt;=4,$A165&lt;&gt;0),0,IF($A165="S",OFFSET(G165,-1,0)+1,OFFSET(G165,-1,0)))</f>
        <v>13</v>
      </c>
      <c r="H165">
        <f ca="1" t="shared" si="87"/>
        <v>0</v>
      </c>
      <c r="I165">
        <f ca="1" t="shared" si="88"/>
        <v>0</v>
      </c>
      <c r="J165" s="120" t="s">
        <v>103</v>
      </c>
      <c r="K165" s="162" t="str">
        <f ca="1">IF($A165=0,"-",CONCATENATE(C165&amp;".",IF(AND($A$5&gt;=2,$A165&gt;=2),D165&amp;".",""),IF(AND($A$5&gt;=3,$A165&gt;=3),E165&amp;".",""),IF(AND($A$5&gt;=4,$A165&gt;=4),F165&amp;".",""),IF($A165="S",G165&amp;".","")))</f>
        <v>1.20.13.</v>
      </c>
      <c r="L165" s="209" t="s">
        <v>228</v>
      </c>
      <c r="M165" s="209" t="s">
        <v>377</v>
      </c>
      <c r="N165" s="230" t="str">
        <f ca="1">IF($A165="S",Referencia.Descricao,"(digite a descrição aqui)")</f>
        <v>INTERRUPTOR SIMPLES (1 MÓDULO) COM INTERRUPTOR PARALELO (1 MÓDULO), 10A/250V, INCLUINDO SUPORTE E PLACA - FORNECIMENTO E INSTALAÇÃO. AF_03/2023</v>
      </c>
      <c r="O165" s="229" t="str">
        <f ca="1">Referencia.Unidade</f>
        <v>UN</v>
      </c>
      <c r="P165" s="232">
        <f ca="1">OFFSET(PLQ!$E$12,ROW($P165)-ROW(P$12),0)</f>
        <v>52</v>
      </c>
      <c r="Q165" s="228">
        <v>54.21</v>
      </c>
      <c r="R165" s="231" t="s">
        <v>7</v>
      </c>
      <c r="S165" s="121">
        <f ca="1">IF($A165="S",IF($Q$10="Preço Unitário (R$)",PO.CustoUnitario,ROUND(PO.CustoUnitario*(1+$Z165),15-13*$X$6)),0)</f>
        <v>65.38</v>
      </c>
      <c r="T165" s="98">
        <f ca="1">IF($A165="S",VTOTAL1,IF($A165=0,0,ROUND(SomaAgrup,15-13*$X$7)))</f>
        <v>3399.76</v>
      </c>
      <c r="U165" s="13" t="str">
        <f ca="1">IF($J165="","",IF($N165="","DESCRIÇÃO",IF(AND($J165="Serviço",$O165=""),"UNIDADE",IF($T165&lt;=0,"SEM VALOR",IF(AND($Y165&lt;&gt;"",$Q165&gt;$Y165),"ACIMA REF.","")))))</f>
        <v/>
      </c>
      <c r="V165" s="4" t="str">
        <f ca="1">IF(OR($A165=0,$A165="S",$A165&gt;CFF!$A$9),"",MAX(V$12:OFFSET(V165,-1,0))+1)</f>
        <v/>
      </c>
      <c r="W165" s="9" t="str">
        <f>IF(AND($J165="Serviço",$M165&lt;&gt;""),IF($L165="",$M165,CONCATENATE($L165,"-",$M165)))</f>
        <v>Sinapi-91957</v>
      </c>
      <c r="X165" s="4">
        <f ca="1">IF(AND(Fonte&lt;&gt;"",Código&lt;&gt;""),MATCH(Fonte&amp;" "&amp;IF(Fonte="sinapi",SUBSTITUTE(SUBSTITUTE(Código,"/00","/"),"/0","/"),Código),INDIRECT("'[Referência "&amp;_XLNM.DATABASE&amp;".xls]Banco'!$a:$a"),0),"X")</f>
        <v>2998</v>
      </c>
      <c r="Y165" s="121">
        <f ca="1">IF(Import.Desoneracao="sim",Referencia.Desonerado,Referencia.NaoDesonerado)</f>
        <v>54.21</v>
      </c>
      <c r="Z165" s="132">
        <f ca="1">ROUND(IF(ISNUMBER(R165),R165,IF(LEFT(R165,3)="BDI",HLOOKUP(R165,DADOS!$T$37:$X$38,2,FALSE),0)),15-11*$X$5)</f>
        <v>0.206</v>
      </c>
      <c r="AA165" s="4"/>
    </row>
    <row r="166" spans="1:27" ht="26.4">
      <c r="A166" t="str">
        <f>CHOOSE(1+LOG(1+2*(J166="Meta")+4*(J166="Nível 2")+8*(J166="Nível 3")+16*(J166="Nível 4")+32*(J166="Serviço"),2),0,1,2,3,4,"S")</f>
        <v>S</v>
      </c>
      <c r="B166">
        <f>IF(OR(A166="S",A166=0),0,IF(ISERROR(I166),H166,SMALL(H166:I166,1)))</f>
        <v>0</v>
      </c>
      <c r="C166">
        <f ca="1">IF($A166=1,OFFSET(C166,-1,0)+1,OFFSET(C166,-1,0))</f>
        <v>1</v>
      </c>
      <c r="D166">
        <f ca="1">IF($A166=1,0,IF($A166=2,OFFSET(D166,-1,0)+1,OFFSET(D166,-1,0)))</f>
        <v>20</v>
      </c>
      <c r="E166">
        <f ca="1">IF(AND($A166&lt;=2,$A166&lt;&gt;0),0,IF($A166=3,OFFSET(E166,-1,0)+1,OFFSET(E166,-1,0)))</f>
        <v>0</v>
      </c>
      <c r="F166">
        <f ca="1">IF(AND($A166&lt;=3,$A166&lt;&gt;0),0,IF($A166=4,OFFSET(F166,-1,0)+1,OFFSET(F166,-1,0)))</f>
        <v>0</v>
      </c>
      <c r="G166">
        <f ca="1">IF(AND($A166&lt;=4,$A166&lt;&gt;0),0,IF($A166="S",OFFSET(G166,-1,0)+1,OFFSET(G166,-1,0)))</f>
        <v>14</v>
      </c>
      <c r="H166">
        <f ca="1" t="shared" si="87"/>
        <v>0</v>
      </c>
      <c r="I166">
        <f ca="1" t="shared" si="88"/>
        <v>0</v>
      </c>
      <c r="J166" s="120" t="s">
        <v>103</v>
      </c>
      <c r="K166" s="162" t="str">
        <f ca="1">IF($A166=0,"-",CONCATENATE(C166&amp;".",IF(AND($A$5&gt;=2,$A166&gt;=2),D166&amp;".",""),IF(AND($A$5&gt;=3,$A166&gt;=3),E166&amp;".",""),IF(AND($A$5&gt;=4,$A166&gt;=4),F166&amp;".",""),IF($A166="S",G166&amp;".","")))</f>
        <v>1.20.14.</v>
      </c>
      <c r="L166" s="209" t="s">
        <v>228</v>
      </c>
      <c r="M166" s="209" t="s">
        <v>378</v>
      </c>
      <c r="N166" s="230" t="str">
        <f ca="1">IF($A166="S",Referencia.Descricao,"(digite a descrição aqui)")</f>
        <v>INTERRUPTOR PARALELO (1 MÓDULO), 10A/250V, INCLUINDO SUPORTE E PLACA - FORNECIMENTO E INSTALAÇÃO. AF_03/2023</v>
      </c>
      <c r="O166" s="229" t="str">
        <f ca="1">Referencia.Unidade</f>
        <v>UN</v>
      </c>
      <c r="P166" s="232">
        <f ca="1">OFFSET(PLQ!$E$12,ROW($P166)-ROW(P$12),0)</f>
        <v>26</v>
      </c>
      <c r="Q166" s="228">
        <v>37.82</v>
      </c>
      <c r="R166" s="231" t="s">
        <v>7</v>
      </c>
      <c r="S166" s="121">
        <f ca="1">IF($A166="S",IF($Q$10="Preço Unitário (R$)",PO.CustoUnitario,ROUND(PO.CustoUnitario*(1+$Z166),15-13*$X$6)),0)</f>
        <v>45.61</v>
      </c>
      <c r="T166" s="98">
        <f ca="1">IF($A166="S",VTOTAL1,IF($A166=0,0,ROUND(SomaAgrup,15-13*$X$7)))</f>
        <v>1185.86</v>
      </c>
      <c r="U166" s="13" t="str">
        <f ca="1">IF($J166="","",IF($N166="","DESCRIÇÃO",IF(AND($J166="Serviço",$O166=""),"UNIDADE",IF($T166&lt;=0,"SEM VALOR",IF(AND($Y166&lt;&gt;"",$Q166&gt;$Y166),"ACIMA REF.","")))))</f>
        <v/>
      </c>
      <c r="V166" s="4" t="str">
        <f ca="1">IF(OR($A166=0,$A166="S",$A166&gt;CFF!$A$9),"",MAX(V$12:OFFSET(V166,-1,0))+1)</f>
        <v/>
      </c>
      <c r="W166" s="9" t="str">
        <f>IF(AND($J166="Serviço",$M166&lt;&gt;""),IF($L166="",$M166,CONCATENATE($L166,"-",$M166)))</f>
        <v>Sinapi-91955</v>
      </c>
      <c r="X166" s="4">
        <f ca="1">IF(AND(Fonte&lt;&gt;"",Código&lt;&gt;""),MATCH(Fonte&amp;" "&amp;IF(Fonte="sinapi",SUBSTITUTE(SUBSTITUTE(Código,"/00","/"),"/0","/"),Código),INDIRECT("'[Referência "&amp;_XLNM.DATABASE&amp;".xls]Banco'!$a:$a"),0),"X")</f>
        <v>2996</v>
      </c>
      <c r="Y166" s="121">
        <f ca="1">IF(Import.Desoneracao="sim",Referencia.Desonerado,Referencia.NaoDesonerado)</f>
        <v>37.82</v>
      </c>
      <c r="Z166" s="132">
        <f ca="1">ROUND(IF(ISNUMBER(R166),R166,IF(LEFT(R166,3)="BDI",HLOOKUP(R166,DADOS!$T$37:$X$38,2,FALSE),0)),15-11*$X$5)</f>
        <v>0.206</v>
      </c>
      <c r="AA166" s="4"/>
    </row>
    <row r="167" spans="1:27" ht="26.4">
      <c r="A167" t="str">
        <f t="shared" si="77"/>
        <v>S</v>
      </c>
      <c r="B167">
        <f t="shared" si="78"/>
        <v>0</v>
      </c>
      <c r="C167">
        <f ca="1" t="shared" si="79"/>
        <v>1</v>
      </c>
      <c r="D167">
        <f ca="1" t="shared" si="80"/>
        <v>20</v>
      </c>
      <c r="E167">
        <f ca="1" t="shared" si="81"/>
        <v>0</v>
      </c>
      <c r="F167">
        <f ca="1" t="shared" si="82"/>
        <v>0</v>
      </c>
      <c r="G167">
        <f ca="1" t="shared" si="83"/>
        <v>15</v>
      </c>
      <c r="H167">
        <f ca="1" t="shared" si="87"/>
        <v>0</v>
      </c>
      <c r="I167">
        <f ca="1" t="shared" si="88"/>
        <v>0</v>
      </c>
      <c r="J167" s="120" t="s">
        <v>103</v>
      </c>
      <c r="K167" s="162" t="str">
        <f ca="1" t="shared" si="84"/>
        <v>1.20.15.</v>
      </c>
      <c r="L167" s="209" t="s">
        <v>228</v>
      </c>
      <c r="M167" s="209" t="s">
        <v>379</v>
      </c>
      <c r="N167" s="230" t="str">
        <f ca="1">IF($A167="S",Referencia.Descricao,"(digite a descrição aqui)")</f>
        <v>TOMADA BAIXA DE EMBUTIR (1 MÓDULO), 2P+T 10 A, INCLUINDO SUPORTE E PLACA - FORNECIMENTO E INSTALAÇÃO. AF_03/2023</v>
      </c>
      <c r="O167" s="229" t="str">
        <f ca="1">Referencia.Unidade</f>
        <v>UN</v>
      </c>
      <c r="P167" s="232">
        <f ca="1">OFFSET(PLQ!$E$12,ROW($P167)-ROW(P$12),0)</f>
        <v>39</v>
      </c>
      <c r="Q167" s="228">
        <v>32.69</v>
      </c>
      <c r="R167" s="231" t="s">
        <v>7</v>
      </c>
      <c r="S167" s="121">
        <f ca="1" t="shared" si="74"/>
        <v>39.42</v>
      </c>
      <c r="T167" s="98">
        <f ca="1" t="shared" si="75"/>
        <v>1537.38</v>
      </c>
      <c r="U167" s="13" t="str">
        <f ca="1" t="shared" si="85"/>
        <v/>
      </c>
      <c r="V167" s="4" t="str">
        <f ca="1">IF(OR($A167=0,$A167="S",$A167&gt;CFF!$A$9),"",MAX(V$12:OFFSET(V167,-1,0))+1)</f>
        <v/>
      </c>
      <c r="W167" s="9" t="str">
        <f t="shared" si="86"/>
        <v>Sinapi-92000</v>
      </c>
      <c r="X167" s="4">
        <f ca="1" t="shared" si="76"/>
        <v>3041</v>
      </c>
      <c r="Y167" s="121">
        <f ca="1">IF(Import.Desoneracao="sim",Referencia.Desonerado,Referencia.NaoDesonerado)</f>
        <v>32.69</v>
      </c>
      <c r="Z167" s="132">
        <f ca="1">ROUND(IF(ISNUMBER(R167),R167,IF(LEFT(R167,3)="BDI",HLOOKUP(R167,DADOS!$T$37:$X$38,2,FALSE),0)),15-11*$X$5)</f>
        <v>0.206</v>
      </c>
      <c r="AA167" s="4"/>
    </row>
    <row r="168" spans="1:27" ht="26.4">
      <c r="A168" t="str">
        <f>CHOOSE(1+LOG(1+2*(J168="Meta")+4*(J168="Nível 2")+8*(J168="Nível 3")+16*(J168="Nível 4")+32*(J168="Serviço"),2),0,1,2,3,4,"S")</f>
        <v>S</v>
      </c>
      <c r="B168">
        <f>IF(OR(A168="S",A168=0),0,IF(ISERROR(I168),H168,SMALL(H168:I168,1)))</f>
        <v>0</v>
      </c>
      <c r="C168">
        <f ca="1">IF($A168=1,OFFSET(C168,-1,0)+1,OFFSET(C168,-1,0))</f>
        <v>1</v>
      </c>
      <c r="D168">
        <f ca="1">IF($A168=1,0,IF($A168=2,OFFSET(D168,-1,0)+1,OFFSET(D168,-1,0)))</f>
        <v>20</v>
      </c>
      <c r="E168">
        <f ca="1">IF(AND($A168&lt;=2,$A168&lt;&gt;0),0,IF($A168=3,OFFSET(E168,-1,0)+1,OFFSET(E168,-1,0)))</f>
        <v>0</v>
      </c>
      <c r="F168">
        <f ca="1">IF(AND($A168&lt;=3,$A168&lt;&gt;0),0,IF($A168=4,OFFSET(F168,-1,0)+1,OFFSET(F168,-1,0)))</f>
        <v>0</v>
      </c>
      <c r="G168">
        <f ca="1">IF(AND($A168&lt;=4,$A168&lt;&gt;0),0,IF($A168="S",OFFSET(G168,-1,0)+1,OFFSET(G168,-1,0)))</f>
        <v>16</v>
      </c>
      <c r="H168">
        <f ca="1" t="shared" si="87"/>
        <v>0</v>
      </c>
      <c r="I168">
        <f ca="1" t="shared" si="88"/>
        <v>0</v>
      </c>
      <c r="J168" s="120" t="s">
        <v>103</v>
      </c>
      <c r="K168" s="162" t="str">
        <f ca="1">IF($A168=0,"-",CONCATENATE(C168&amp;".",IF(AND($A$5&gt;=2,$A168&gt;=2),D168&amp;".",""),IF(AND($A$5&gt;=3,$A168&gt;=3),E168&amp;".",""),IF(AND($A$5&gt;=4,$A168&gt;=4),F168&amp;".",""),IF($A168="S",G168&amp;".","")))</f>
        <v>1.20.16.</v>
      </c>
      <c r="L168" s="209" t="s">
        <v>228</v>
      </c>
      <c r="M168" s="209" t="s">
        <v>380</v>
      </c>
      <c r="N168" s="230" t="str">
        <f ca="1">IF($A168="S",Referencia.Descricao,"(digite a descrição aqui)")</f>
        <v>TOMADA MÉDIA DE EMBUTIR (2 MÓDULOS), 2P+T 10 A, INCLUINDO SUPORTE E PLACA - FORNECIMENTO E INSTALAÇÃO. AF_03/2023</v>
      </c>
      <c r="O168" s="229" t="str">
        <f ca="1">Referencia.Unidade</f>
        <v>UN</v>
      </c>
      <c r="P168" s="232">
        <f ca="1">OFFSET(PLQ!$E$12,ROW($P168)-ROW(P$12),0)</f>
        <v>65</v>
      </c>
      <c r="Q168" s="228">
        <v>58.43</v>
      </c>
      <c r="R168" s="231" t="s">
        <v>7</v>
      </c>
      <c r="S168" s="121">
        <f ca="1">IF($A168="S",IF($Q$10="Preço Unitário (R$)",PO.CustoUnitario,ROUND(PO.CustoUnitario*(1+$Z168),15-13*$X$6)),0)</f>
        <v>70.47</v>
      </c>
      <c r="T168" s="98">
        <f ca="1">IF($A168="S",VTOTAL1,IF($A168=0,0,ROUND(SomaAgrup,15-13*$X$7)))</f>
        <v>4580.55</v>
      </c>
      <c r="U168" s="13" t="str">
        <f ca="1">IF($J168="","",IF($N168="","DESCRIÇÃO",IF(AND($J168="Serviço",$O168=""),"UNIDADE",IF($T168&lt;=0,"SEM VALOR",IF(AND($Y168&lt;&gt;"",$Q168&gt;$Y168),"ACIMA REF.","")))))</f>
        <v/>
      </c>
      <c r="V168" s="4" t="str">
        <f ca="1">IF(OR($A168=0,$A168="S",$A168&gt;CFF!$A$9),"",MAX(V$12:OFFSET(V168,-1,0))+1)</f>
        <v/>
      </c>
      <c r="W168" s="9" t="str">
        <f>IF(AND($J168="Serviço",$M168&lt;&gt;""),IF($L168="",$M168,CONCATENATE($L168,"-",$M168)))</f>
        <v>Sinapi-92004</v>
      </c>
      <c r="X168" s="4">
        <f ca="1">IF(AND(Fonte&lt;&gt;"",Código&lt;&gt;""),MATCH(Fonte&amp;" "&amp;IF(Fonte="sinapi",SUBSTITUTE(SUBSTITUTE(Código,"/00","/"),"/0","/"),Código),INDIRECT("'[Referência "&amp;_XLNM.DATABASE&amp;".xls]Banco'!$a:$a"),0),"X")</f>
        <v>3045</v>
      </c>
      <c r="Y168" s="121">
        <f ca="1">IF(Import.Desoneracao="sim",Referencia.Desonerado,Referencia.NaoDesonerado)</f>
        <v>58.43</v>
      </c>
      <c r="Z168" s="132">
        <f ca="1">ROUND(IF(ISNUMBER(R168),R168,IF(LEFT(R168,3)="BDI",HLOOKUP(R168,DADOS!$T$37:$X$38,2,FALSE),0)),15-11*$X$5)</f>
        <v>0.206</v>
      </c>
      <c r="AA168" s="4"/>
    </row>
    <row r="169" spans="1:27" ht="26.4">
      <c r="A169" t="str">
        <f>CHOOSE(1+LOG(1+2*(J169="Meta")+4*(J169="Nível 2")+8*(J169="Nível 3")+16*(J169="Nível 4")+32*(J169="Serviço"),2),0,1,2,3,4,"S")</f>
        <v>S</v>
      </c>
      <c r="B169">
        <f>IF(OR(A169="S",A169=0),0,IF(ISERROR(I169),H169,SMALL(H169:I169,1)))</f>
        <v>0</v>
      </c>
      <c r="C169">
        <f ca="1">IF($A169=1,OFFSET(C169,-1,0)+1,OFFSET(C169,-1,0))</f>
        <v>1</v>
      </c>
      <c r="D169">
        <f ca="1">IF($A169=1,0,IF($A169=2,OFFSET(D169,-1,0)+1,OFFSET(D169,-1,0)))</f>
        <v>20</v>
      </c>
      <c r="E169">
        <f ca="1">IF(AND($A169&lt;=2,$A169&lt;&gt;0),0,IF($A169=3,OFFSET(E169,-1,0)+1,OFFSET(E169,-1,0)))</f>
        <v>0</v>
      </c>
      <c r="F169">
        <f ca="1">IF(AND($A169&lt;=3,$A169&lt;&gt;0),0,IF($A169=4,OFFSET(F169,-1,0)+1,OFFSET(F169,-1,0)))</f>
        <v>0</v>
      </c>
      <c r="G169">
        <f ca="1">IF(AND($A169&lt;=4,$A169&lt;&gt;0),0,IF($A169="S",OFFSET(G169,-1,0)+1,OFFSET(G169,-1,0)))</f>
        <v>17</v>
      </c>
      <c r="H169">
        <f ca="1" t="shared" si="87"/>
        <v>0</v>
      </c>
      <c r="I169">
        <f ca="1" t="shared" si="88"/>
        <v>0</v>
      </c>
      <c r="J169" s="120" t="s">
        <v>103</v>
      </c>
      <c r="K169" s="162" t="str">
        <f ca="1">IF($A169=0,"-",CONCATENATE(C169&amp;".",IF(AND($A$5&gt;=2,$A169&gt;=2),D169&amp;".",""),IF(AND($A$5&gt;=3,$A169&gt;=3),E169&amp;".",""),IF(AND($A$5&gt;=4,$A169&gt;=4),F169&amp;".",""),IF($A169="S",G169&amp;".","")))</f>
        <v>1.20.17.</v>
      </c>
      <c r="L169" s="209" t="s">
        <v>228</v>
      </c>
      <c r="M169" s="209" t="s">
        <v>381</v>
      </c>
      <c r="N169" s="230" t="str">
        <f ca="1">IF($A169="S",Referencia.Descricao,"(digite a descrição aqui)")</f>
        <v>INTERRUPTOR PARALELO (1 MÓDULO) COM 2 TOMADAS DE EMBUTIR 2P+T 10 A, INCLUINDO SUPORTE E PLACA - FORNECIMENTO E INSTALAÇÃO. AF_03/2023</v>
      </c>
      <c r="O169" s="229" t="str">
        <f ca="1">Referencia.Unidade</f>
        <v>UN</v>
      </c>
      <c r="P169" s="232">
        <f ca="1">OFFSET(PLQ!$E$12,ROW($P169)-ROW(P$12),0)</f>
        <v>13</v>
      </c>
      <c r="Q169" s="228">
        <v>81.51</v>
      </c>
      <c r="R169" s="231" t="s">
        <v>7</v>
      </c>
      <c r="S169" s="121">
        <f ca="1">IF($A169="S",IF($Q$10="Preço Unitário (R$)",PO.CustoUnitario,ROUND(PO.CustoUnitario*(1+$Z169),15-13*$X$6)),0)</f>
        <v>98.3</v>
      </c>
      <c r="T169" s="98">
        <f ca="1">IF($A169="S",VTOTAL1,IF($A169=0,0,ROUND(SomaAgrup,15-13*$X$7)))</f>
        <v>1277.9</v>
      </c>
      <c r="U169" s="13" t="str">
        <f ca="1">IF($J169="","",IF($N169="","DESCRIÇÃO",IF(AND($J169="Serviço",$O169=""),"UNIDADE",IF($T169&lt;=0,"SEM VALOR",IF(AND($Y169&lt;&gt;"",$Q169&gt;$Y169),"ACIMA REF.","")))))</f>
        <v/>
      </c>
      <c r="V169" s="4" t="str">
        <f ca="1">IF(OR($A169=0,$A169="S",$A169&gt;CFF!$A$9),"",MAX(V$12:OFFSET(V169,-1,0))+1)</f>
        <v/>
      </c>
      <c r="W169" s="9" t="str">
        <f>IF(AND($J169="Serviço",$M169&lt;&gt;""),IF($L169="",$M169,CONCATENATE($L169,"-",$M169)))</f>
        <v>Sinapi-92031</v>
      </c>
      <c r="X169" s="4">
        <f ca="1">IF(AND(Fonte&lt;&gt;"",Código&lt;&gt;""),MATCH(Fonte&amp;" "&amp;IF(Fonte="sinapi",SUBSTITUTE(SUBSTITUTE(Código,"/00","/"),"/0","/"),Código),INDIRECT("'[Referência "&amp;_XLNM.DATABASE&amp;".xls]Banco'!$a:$a"),0),"X")</f>
        <v>3072</v>
      </c>
      <c r="Y169" s="121">
        <f ca="1">IF(Import.Desoneracao="sim",Referencia.Desonerado,Referencia.NaoDesonerado)</f>
        <v>81.51</v>
      </c>
      <c r="Z169" s="132">
        <f ca="1">ROUND(IF(ISNUMBER(R169),R169,IF(LEFT(R169,3)="BDI",HLOOKUP(R169,DADOS!$T$37:$X$38,2,FALSE),0)),15-11*$X$5)</f>
        <v>0.206</v>
      </c>
      <c r="AA169" s="4"/>
    </row>
    <row r="170" spans="1:27" ht="26.4">
      <c r="A170" t="str">
        <f>CHOOSE(1+LOG(1+2*(J170="Meta")+4*(J170="Nível 2")+8*(J170="Nível 3")+16*(J170="Nível 4")+32*(J170="Serviço"),2),0,1,2,3,4,"S")</f>
        <v>S</v>
      </c>
      <c r="B170">
        <f>IF(OR(A170="S",A170=0),0,IF(ISERROR(I170),H170,SMALL(H170:I170,1)))</f>
        <v>0</v>
      </c>
      <c r="C170">
        <f ca="1">IF($A170=1,OFFSET(C170,-1,0)+1,OFFSET(C170,-1,0))</f>
        <v>1</v>
      </c>
      <c r="D170">
        <f ca="1">IF($A170=1,0,IF($A170=2,OFFSET(D170,-1,0)+1,OFFSET(D170,-1,0)))</f>
        <v>20</v>
      </c>
      <c r="E170">
        <f ca="1">IF(AND($A170&lt;=2,$A170&lt;&gt;0),0,IF($A170=3,OFFSET(E170,-1,0)+1,OFFSET(E170,-1,0)))</f>
        <v>0</v>
      </c>
      <c r="F170">
        <f ca="1">IF(AND($A170&lt;=3,$A170&lt;&gt;0),0,IF($A170=4,OFFSET(F170,-1,0)+1,OFFSET(F170,-1,0)))</f>
        <v>0</v>
      </c>
      <c r="G170">
        <f ca="1">IF(AND($A170&lt;=4,$A170&lt;&gt;0),0,IF($A170="S",OFFSET(G170,-1,0)+1,OFFSET(G170,-1,0)))</f>
        <v>18</v>
      </c>
      <c r="H170">
        <f ca="1" t="shared" si="87"/>
        <v>0</v>
      </c>
      <c r="I170">
        <f ca="1" t="shared" si="88"/>
        <v>0</v>
      </c>
      <c r="J170" s="120" t="s">
        <v>103</v>
      </c>
      <c r="K170" s="162" t="str">
        <f ca="1">IF($A170=0,"-",CONCATENATE(C170&amp;".",IF(AND($A$5&gt;=2,$A170&gt;=2),D170&amp;".",""),IF(AND($A$5&gt;=3,$A170&gt;=3),E170&amp;".",""),IF(AND($A$5&gt;=4,$A170&gt;=4),F170&amp;".",""),IF($A170="S",G170&amp;".","")))</f>
        <v>1.20.18.</v>
      </c>
      <c r="L170" s="209" t="s">
        <v>228</v>
      </c>
      <c r="M170" s="209" t="s">
        <v>382</v>
      </c>
      <c r="N170" s="230" t="str">
        <f ca="1">IF($A170="S",Referencia.Descricao,"(digite a descrição aqui)")</f>
        <v>TOMADA MÉDIA DE EMBUTIR (1 MÓDULO), 2P+T 10 A, INCLUINDO SUPORTE E PLACA - FORNECIMENTO E INSTALAÇÃO. AF_03/2023</v>
      </c>
      <c r="O170" s="229" t="str">
        <f ca="1">Referencia.Unidade</f>
        <v>UN</v>
      </c>
      <c r="P170" s="232">
        <f ca="1">OFFSET(PLQ!$E$12,ROW($P170)-ROW(P$12),0)</f>
        <v>39</v>
      </c>
      <c r="Q170" s="228">
        <v>36.56</v>
      </c>
      <c r="R170" s="231" t="s">
        <v>7</v>
      </c>
      <c r="S170" s="121">
        <f ca="1">IF($A170="S",IF($Q$10="Preço Unitário (R$)",PO.CustoUnitario,ROUND(PO.CustoUnitario*(1+$Z170),15-13*$X$6)),0)</f>
        <v>44.09</v>
      </c>
      <c r="T170" s="98">
        <f ca="1">IF($A170="S",VTOTAL1,IF($A170=0,0,ROUND(SomaAgrup,15-13*$X$7)))</f>
        <v>1719.51</v>
      </c>
      <c r="U170" s="13" t="str">
        <f ca="1">IF($J170="","",IF($N170="","DESCRIÇÃO",IF(AND($J170="Serviço",$O170=""),"UNIDADE",IF($T170&lt;=0,"SEM VALOR",IF(AND($Y170&lt;&gt;"",$Q170&gt;$Y170),"ACIMA REF.","")))))</f>
        <v/>
      </c>
      <c r="V170" s="4" t="str">
        <f ca="1">IF(OR($A170=0,$A170="S",$A170&gt;CFF!$A$9),"",MAX(V$12:OFFSET(V170,-1,0))+1)</f>
        <v/>
      </c>
      <c r="W170" s="9" t="str">
        <f>IF(AND($J170="Serviço",$M170&lt;&gt;""),IF($L170="",$M170,CONCATENATE($L170,"-",$M170)))</f>
        <v>Sinapi-91996</v>
      </c>
      <c r="X170" s="4">
        <f ca="1">IF(AND(Fonte&lt;&gt;"",Código&lt;&gt;""),MATCH(Fonte&amp;" "&amp;IF(Fonte="sinapi",SUBSTITUTE(SUBSTITUTE(Código,"/00","/"),"/0","/"),Código),INDIRECT("'[Referência "&amp;_XLNM.DATABASE&amp;".xls]Banco'!$a:$a"),0),"X")</f>
        <v>3037</v>
      </c>
      <c r="Y170" s="121">
        <f ca="1">IF(Import.Desoneracao="sim",Referencia.Desonerado,Referencia.NaoDesonerado)</f>
        <v>36.56</v>
      </c>
      <c r="Z170" s="132">
        <f ca="1">ROUND(IF(ISNUMBER(R170),R170,IF(LEFT(R170,3)="BDI",HLOOKUP(R170,DADOS!$T$37:$X$38,2,FALSE),0)),15-11*$X$5)</f>
        <v>0.206</v>
      </c>
      <c r="AA170" s="4"/>
    </row>
    <row r="171" spans="1:27" ht="26.4">
      <c r="A171" t="str">
        <f t="shared" si="77"/>
        <v>S</v>
      </c>
      <c r="B171">
        <f t="shared" si="78"/>
        <v>0</v>
      </c>
      <c r="C171">
        <f ca="1" t="shared" si="79"/>
        <v>1</v>
      </c>
      <c r="D171">
        <f ca="1" t="shared" si="80"/>
        <v>20</v>
      </c>
      <c r="E171">
        <f ca="1" t="shared" si="81"/>
        <v>0</v>
      </c>
      <c r="F171">
        <f ca="1" t="shared" si="82"/>
        <v>0</v>
      </c>
      <c r="G171">
        <f ca="1" t="shared" si="83"/>
        <v>19</v>
      </c>
      <c r="H171">
        <f ca="1" t="shared" si="87"/>
        <v>0</v>
      </c>
      <c r="I171">
        <f ca="1" t="shared" si="88"/>
        <v>0</v>
      </c>
      <c r="J171" s="120" t="s">
        <v>103</v>
      </c>
      <c r="K171" s="162" t="str">
        <f ca="1" t="shared" si="84"/>
        <v>1.20.19.</v>
      </c>
      <c r="L171" s="209" t="s">
        <v>286</v>
      </c>
      <c r="M171" s="209" t="s">
        <v>360</v>
      </c>
      <c r="N171" s="230" t="str">
        <f ca="1">IF($A171="S",Referencia.Descricao,"(digite a descrição aqui)")</f>
        <v xml:space="preserve">LUMINARIA DE TETO PLAFON/PLAFONIER EM PLASTICO COM BASE E27, POTENCIA MAXIMA 60 W (NAO INCLUI LAMPADA)                                                                                                                                                                                                                                                                                                                                                                                                    </v>
      </c>
      <c r="O171" s="229" t="str">
        <f ca="1">Referencia.Unidade</f>
        <v xml:space="preserve">UN    </v>
      </c>
      <c r="P171" s="232">
        <f ca="1">OFFSET(PLQ!$E$12,ROW($P171)-ROW(P$12),0)</f>
        <v>156</v>
      </c>
      <c r="Q171" s="228">
        <v>6.58</v>
      </c>
      <c r="R171" s="231" t="s">
        <v>8</v>
      </c>
      <c r="S171" s="121">
        <f ca="1" t="shared" si="74"/>
        <v>7.41</v>
      </c>
      <c r="T171" s="98">
        <f ca="1" t="shared" si="75"/>
        <v>1155.96</v>
      </c>
      <c r="U171" s="13" t="str">
        <f ca="1" t="shared" si="85"/>
        <v/>
      </c>
      <c r="V171" s="4" t="str">
        <f ca="1">IF(OR($A171=0,$A171="S",$A171&gt;CFF!$A$9),"",MAX(V$12:OFFSET(V171,-1,0))+1)</f>
        <v/>
      </c>
      <c r="W171" s="9" t="str">
        <f t="shared" si="86"/>
        <v>Sinapi-i-38773</v>
      </c>
      <c r="X171" s="4">
        <f ca="1" t="shared" si="76"/>
        <v>10161</v>
      </c>
      <c r="Y171" s="121">
        <f ca="1">IF(Import.Desoneracao="sim",Referencia.Desonerado,Referencia.NaoDesonerado)</f>
        <v>6.58</v>
      </c>
      <c r="Z171" s="132">
        <f ca="1">ROUND(IF(ISNUMBER(R171),R171,IF(LEFT(R171,3)="BDI",HLOOKUP(R171,DADOS!$T$37:$X$38,2,FALSE),0)),15-11*$X$5)</f>
        <v>0.1262</v>
      </c>
      <c r="AA171" s="4"/>
    </row>
    <row r="172" spans="1:27" ht="26.4">
      <c r="A172" t="str">
        <f t="shared" si="77"/>
        <v>S</v>
      </c>
      <c r="B172">
        <f t="shared" si="78"/>
        <v>0</v>
      </c>
      <c r="C172">
        <f ca="1" t="shared" si="79"/>
        <v>1</v>
      </c>
      <c r="D172">
        <f ca="1" t="shared" si="80"/>
        <v>20</v>
      </c>
      <c r="E172">
        <f ca="1" t="shared" si="81"/>
        <v>0</v>
      </c>
      <c r="F172">
        <f ca="1" t="shared" si="82"/>
        <v>0</v>
      </c>
      <c r="G172">
        <f ca="1" t="shared" si="83"/>
        <v>20</v>
      </c>
      <c r="H172">
        <f ca="1" t="shared" si="87"/>
        <v>0</v>
      </c>
      <c r="I172">
        <f ca="1" t="shared" si="88"/>
        <v>0</v>
      </c>
      <c r="J172" s="120" t="s">
        <v>103</v>
      </c>
      <c r="K172" s="162" t="str">
        <f ca="1" t="shared" si="84"/>
        <v>1.20.20.</v>
      </c>
      <c r="L172" s="209" t="s">
        <v>228</v>
      </c>
      <c r="M172" s="209" t="s">
        <v>361</v>
      </c>
      <c r="N172" s="230" t="str">
        <f ca="1">IF($A172="S",Referencia.Descricao,"(digite a descrição aqui)")</f>
        <v>LÂMPADA COMPACTA DE LED 10 W, BASE E27 - FORNECIMENTO E INSTALAÇÃO. AF_02/2020</v>
      </c>
      <c r="O172" s="229" t="str">
        <f ca="1">Referencia.Unidade</f>
        <v>UN</v>
      </c>
      <c r="P172" s="232">
        <f ca="1">OFFSET(PLQ!$E$12,ROW($P172)-ROW(P$12),0)</f>
        <v>156</v>
      </c>
      <c r="Q172" s="228">
        <v>17.29</v>
      </c>
      <c r="R172" s="231" t="s">
        <v>7</v>
      </c>
      <c r="S172" s="121">
        <f ca="1" t="shared" si="74"/>
        <v>20.85</v>
      </c>
      <c r="T172" s="98">
        <f ca="1" t="shared" si="75"/>
        <v>3252.6</v>
      </c>
      <c r="U172" s="13" t="str">
        <f ca="1" t="shared" si="85"/>
        <v/>
      </c>
      <c r="V172" s="4" t="str">
        <f ca="1">IF(OR($A172=0,$A172="S",$A172&gt;CFF!$A$9),"",MAX(V$12:OFFSET(V172,-1,0))+1)</f>
        <v/>
      </c>
      <c r="W172" s="9" t="str">
        <f t="shared" si="86"/>
        <v>Sinapi-97610</v>
      </c>
      <c r="X172" s="4">
        <f ca="1" t="shared" si="76"/>
        <v>3093</v>
      </c>
      <c r="Y172" s="121">
        <f ca="1">IF(Import.Desoneracao="sim",Referencia.Desonerado,Referencia.NaoDesonerado)</f>
        <v>17.29</v>
      </c>
      <c r="Z172" s="132">
        <f ca="1">ROUND(IF(ISNUMBER(R172),R172,IF(LEFT(R172,3)="BDI",HLOOKUP(R172,DADOS!$T$37:$X$38,2,FALSE),0)),15-11*$X$5)</f>
        <v>0.206</v>
      </c>
      <c r="AA172" s="4"/>
    </row>
    <row r="173" spans="1:27" ht="26.4">
      <c r="A173" t="str">
        <f t="shared" si="77"/>
        <v>S</v>
      </c>
      <c r="B173">
        <f t="shared" si="78"/>
        <v>0</v>
      </c>
      <c r="C173">
        <f ca="1" t="shared" si="79"/>
        <v>1</v>
      </c>
      <c r="D173">
        <f ca="1" t="shared" si="80"/>
        <v>20</v>
      </c>
      <c r="E173">
        <f ca="1" t="shared" si="81"/>
        <v>0</v>
      </c>
      <c r="F173">
        <f ca="1" t="shared" si="82"/>
        <v>0</v>
      </c>
      <c r="G173">
        <f ca="1" t="shared" si="83"/>
        <v>21</v>
      </c>
      <c r="H173">
        <f ca="1" t="shared" si="87"/>
        <v>0</v>
      </c>
      <c r="I173">
        <f ca="1" t="shared" si="88"/>
        <v>0</v>
      </c>
      <c r="J173" s="120" t="s">
        <v>103</v>
      </c>
      <c r="K173" s="162" t="str">
        <f ca="1" t="shared" si="84"/>
        <v>1.20.21.</v>
      </c>
      <c r="L173" s="209" t="s">
        <v>228</v>
      </c>
      <c r="M173" s="209" t="s">
        <v>368</v>
      </c>
      <c r="N173" s="230" t="str">
        <f ca="1">IF($A173="S",Referencia.Descricao,"(digite a descrição aqui)")</f>
        <v>LUMINÁRIA ARANDELA TIPO MEIA LUA, DE SOBREPOR, COM 1 LÂMPADA LED DE 6 W, SEM REATOR - FORNECIMENTO E INSTALAÇÃO. AF_02/2020</v>
      </c>
      <c r="O173" s="229" t="str">
        <f ca="1">Referencia.Unidade</f>
        <v>UN</v>
      </c>
      <c r="P173" s="232">
        <f ca="1">OFFSET(PLQ!$E$12,ROW($P173)-ROW(P$12),0)</f>
        <v>65</v>
      </c>
      <c r="Q173" s="228">
        <v>90.05</v>
      </c>
      <c r="R173" s="231" t="s">
        <v>7</v>
      </c>
      <c r="S173" s="121">
        <f ca="1" t="shared" si="74"/>
        <v>108.6</v>
      </c>
      <c r="T173" s="98">
        <f ca="1" t="shared" si="75"/>
        <v>7059</v>
      </c>
      <c r="U173" s="13" t="str">
        <f ca="1" t="shared" si="85"/>
        <v/>
      </c>
      <c r="V173" s="4" t="str">
        <f ca="1">IF(OR($A173=0,$A173="S",$A173&gt;CFF!$A$9),"",MAX(V$12:OFFSET(V173,-1,0))+1)</f>
        <v/>
      </c>
      <c r="W173" s="9" t="str">
        <f t="shared" si="86"/>
        <v>Sinapi-97605</v>
      </c>
      <c r="X173" s="4">
        <f ca="1" t="shared" si="76"/>
        <v>3272</v>
      </c>
      <c r="Y173" s="121">
        <f ca="1">IF(Import.Desoneracao="sim",Referencia.Desonerado,Referencia.NaoDesonerado)</f>
        <v>90.05</v>
      </c>
      <c r="Z173" s="132">
        <f ca="1">ROUND(IF(ISNUMBER(R173),R173,IF(LEFT(R173,3)="BDI",HLOOKUP(R173,DADOS!$T$37:$X$38,2,FALSE),0)),15-11*$X$5)</f>
        <v>0.206</v>
      </c>
      <c r="AA173" s="4"/>
    </row>
    <row r="174" spans="1:27" ht="12.75">
      <c r="A174">
        <v>-1</v>
      </c>
      <c r="C174">
        <v>0</v>
      </c>
      <c r="D174">
        <v>0</v>
      </c>
      <c r="E174">
        <v>0</v>
      </c>
      <c r="F174">
        <v>0</v>
      </c>
      <c r="G174">
        <v>0</v>
      </c>
      <c r="J174" s="83"/>
      <c r="K174" s="83"/>
      <c r="L174" s="83"/>
      <c r="M174" s="83"/>
      <c r="N174" s="83"/>
      <c r="O174" s="83"/>
      <c r="P174" s="83"/>
      <c r="Q174" s="83"/>
      <c r="R174" s="83"/>
      <c r="S174" s="83"/>
      <c r="T174" s="83"/>
      <c r="U174" s="4"/>
      <c r="V174" s="4"/>
      <c r="W174" s="4"/>
      <c r="X174" s="4"/>
      <c r="Y174" s="4"/>
      <c r="Z174" s="4"/>
      <c r="AA174" s="4"/>
    </row>
    <row r="175" spans="1:27" ht="13.8">
      <c r="A175" s="4"/>
      <c r="B175" s="4"/>
      <c r="C175" s="4"/>
      <c r="D175" s="4"/>
      <c r="E175" s="4"/>
      <c r="F175" s="4"/>
      <c r="G175" s="4"/>
      <c r="H175" s="4"/>
      <c r="I175" s="4"/>
      <c r="J175" s="4"/>
      <c r="K175" s="84" t="s">
        <v>62</v>
      </c>
      <c r="L175" s="4"/>
      <c r="M175" s="367"/>
      <c r="N175" s="368"/>
      <c r="O175" s="368"/>
      <c r="P175" s="368"/>
      <c r="Q175" s="368"/>
      <c r="R175" s="368"/>
      <c r="S175" s="368"/>
      <c r="T175" s="369"/>
      <c r="U175" s="4"/>
      <c r="V175" s="4"/>
      <c r="W175" s="4"/>
      <c r="X175" s="4"/>
      <c r="Y175" s="4"/>
      <c r="Z175" s="4"/>
      <c r="AA175" s="4"/>
    </row>
    <row r="176" spans="1:27" ht="12.7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spans="1:27" ht="13.8">
      <c r="A177" s="4"/>
      <c r="B177" s="4"/>
      <c r="C177" s="4"/>
      <c r="D177" s="4"/>
      <c r="E177" s="4"/>
      <c r="F177" s="4"/>
      <c r="G177" s="4"/>
      <c r="H177" s="4"/>
      <c r="I177" s="4"/>
      <c r="J177" s="4"/>
      <c r="K177" s="90" t="s">
        <v>21</v>
      </c>
      <c r="L177" s="20"/>
      <c r="M177" s="20"/>
      <c r="N177" s="20"/>
      <c r="O177" s="20"/>
      <c r="P177" s="20"/>
      <c r="Q177" s="20"/>
      <c r="R177" s="20"/>
      <c r="S177" s="20"/>
      <c r="T177" s="89"/>
      <c r="U177" s="4"/>
      <c r="V177" s="4"/>
      <c r="W177" s="4"/>
      <c r="X177" s="4"/>
      <c r="Y177" s="4"/>
      <c r="Z177" s="4"/>
      <c r="AA177" s="4"/>
    </row>
    <row r="178" spans="1:27" ht="12.75" customHeight="1">
      <c r="A178" s="4"/>
      <c r="B178" s="4"/>
      <c r="C178" s="4"/>
      <c r="D178" s="4"/>
      <c r="E178" s="4"/>
      <c r="F178" s="4"/>
      <c r="G178" s="4"/>
      <c r="H178" s="4"/>
      <c r="I178" s="4"/>
      <c r="J178" s="4"/>
      <c r="K178" s="361"/>
      <c r="L178" s="362"/>
      <c r="M178" s="362"/>
      <c r="N178" s="362"/>
      <c r="O178" s="362"/>
      <c r="P178" s="362"/>
      <c r="Q178" s="362"/>
      <c r="R178" s="362"/>
      <c r="S178" s="362"/>
      <c r="T178" s="363"/>
      <c r="U178" s="4"/>
      <c r="V178" s="4"/>
      <c r="W178" s="4"/>
      <c r="X178" s="4"/>
      <c r="Y178" s="4"/>
      <c r="Z178" s="4"/>
      <c r="AA178" s="4"/>
    </row>
    <row r="179" spans="1:27" ht="12.75">
      <c r="A179" s="4"/>
      <c r="B179" s="4"/>
      <c r="C179" s="4"/>
      <c r="D179" s="4"/>
      <c r="E179" s="4"/>
      <c r="F179" s="4"/>
      <c r="G179" s="4"/>
      <c r="H179" s="4"/>
      <c r="I179" s="4"/>
      <c r="J179" s="4"/>
      <c r="K179" s="361"/>
      <c r="L179" s="362"/>
      <c r="M179" s="362"/>
      <c r="N179" s="362"/>
      <c r="O179" s="362"/>
      <c r="P179" s="362"/>
      <c r="Q179" s="362"/>
      <c r="R179" s="362"/>
      <c r="S179" s="362"/>
      <c r="T179" s="363"/>
      <c r="U179" s="4"/>
      <c r="V179" s="4"/>
      <c r="W179" s="4"/>
      <c r="X179" s="4"/>
      <c r="Y179" s="4"/>
      <c r="Z179" s="4"/>
      <c r="AA179" s="4"/>
    </row>
    <row r="180" spans="1:27" ht="12.75">
      <c r="A180" s="4"/>
      <c r="B180" s="4"/>
      <c r="C180" s="4"/>
      <c r="D180" s="4"/>
      <c r="E180" s="4"/>
      <c r="F180" s="4"/>
      <c r="G180" s="4"/>
      <c r="H180" s="4"/>
      <c r="I180" s="4"/>
      <c r="J180" s="4"/>
      <c r="K180" s="364"/>
      <c r="L180" s="365"/>
      <c r="M180" s="365"/>
      <c r="N180" s="365"/>
      <c r="O180" s="365"/>
      <c r="P180" s="365"/>
      <c r="Q180" s="365"/>
      <c r="R180" s="365"/>
      <c r="S180" s="365"/>
      <c r="T180" s="366"/>
      <c r="U180" s="4"/>
      <c r="V180" s="4"/>
      <c r="W180" s="4"/>
      <c r="X180" s="4"/>
      <c r="Y180" s="4"/>
      <c r="Z180" s="4"/>
      <c r="AA180" s="4"/>
    </row>
    <row r="181" spans="1:27" ht="13.8">
      <c r="A181" s="4"/>
      <c r="B181" s="4"/>
      <c r="C181" s="4"/>
      <c r="D181" s="4"/>
      <c r="E181" s="4"/>
      <c r="F181" s="4"/>
      <c r="G181" s="4"/>
      <c r="H181" s="4"/>
      <c r="I181" s="4"/>
      <c r="J181" s="4"/>
      <c r="K181" s="213"/>
      <c r="L181" s="213"/>
      <c r="M181" s="213"/>
      <c r="N181" s="213"/>
      <c r="O181" s="213"/>
      <c r="P181" s="213"/>
      <c r="Q181" s="213"/>
      <c r="R181" s="213"/>
      <c r="S181" s="213"/>
      <c r="T181" s="213"/>
      <c r="U181" s="4"/>
      <c r="V181" s="4"/>
      <c r="W181" s="4"/>
      <c r="X181" s="4"/>
      <c r="Y181" s="4"/>
      <c r="Z181" s="4"/>
      <c r="AA181" s="4"/>
    </row>
    <row r="182" spans="1:27" ht="13.8">
      <c r="A182" s="4"/>
      <c r="B182" s="4"/>
      <c r="C182" s="4"/>
      <c r="D182" s="4"/>
      <c r="E182" s="4"/>
      <c r="F182" s="4"/>
      <c r="G182" s="4"/>
      <c r="H182" s="4"/>
      <c r="I182" s="4"/>
      <c r="J182" s="4"/>
      <c r="K182" s="358" t="str">
        <f>IF(AND($X$3=FALSE,$X$4=FALSE,$X$5=FALSE,$X$6=FALSE,$X$7=FALSE),"Não foi considerado arredondamento nos valores da planilha.",CONCATENATE("Foi considerado arredondamento de duas casas decimais para ",IF($X$3=TRUE,"Quantidade; ",""),IF($X$4=TRUE,"Custo Unitário; ",""),IF($X$5=TRUE,"BDI; ",""),IF($X$6=TRUE,"Preço Unitário; ",""),IF($X$7=TRUE,"Preço Total.","")))</f>
        <v>Foi considerado arredondamento de duas casas decimais para Quantidade; Custo Unitário; BDI; Preço Unitário; Preço Total.</v>
      </c>
      <c r="L182" s="359"/>
      <c r="M182" s="359"/>
      <c r="N182" s="359"/>
      <c r="O182" s="359"/>
      <c r="P182" s="359"/>
      <c r="Q182" s="359"/>
      <c r="R182" s="359"/>
      <c r="S182" s="359"/>
      <c r="T182" s="360"/>
      <c r="U182" s="4"/>
      <c r="V182" s="4"/>
      <c r="W182" s="4"/>
      <c r="X182" s="4"/>
      <c r="Y182" s="4"/>
      <c r="Z182" s="4"/>
      <c r="AA182" s="4"/>
    </row>
    <row r="183" spans="1:27" ht="12.7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spans="1:27" ht="21"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spans="1:27" ht="12.75">
      <c r="A185" s="4"/>
      <c r="B185" s="4"/>
      <c r="C185" s="4"/>
      <c r="D185" s="4"/>
      <c r="E185" s="4"/>
      <c r="F185" s="4"/>
      <c r="G185" s="4"/>
      <c r="H185" s="4"/>
      <c r="I185" s="4"/>
      <c r="J185" s="4"/>
      <c r="K185" s="371" t="str">
        <f>Import.Município</f>
        <v>Fontoura Xavier /RS</v>
      </c>
      <c r="L185" s="371"/>
      <c r="M185" s="371"/>
      <c r="N185" s="4"/>
      <c r="O185" s="4"/>
      <c r="P185" s="4"/>
      <c r="Q185" s="4"/>
      <c r="R185" s="4"/>
      <c r="S185" s="4"/>
      <c r="T185" s="4"/>
      <c r="U185" s="4"/>
      <c r="V185" s="4"/>
      <c r="W185" s="4"/>
      <c r="X185" s="4"/>
      <c r="Y185" s="4"/>
      <c r="Z185" s="4"/>
      <c r="AA185" s="4"/>
    </row>
    <row r="186" spans="1:27" ht="12.75">
      <c r="A186" s="4"/>
      <c r="B186" s="4"/>
      <c r="C186" s="4"/>
      <c r="D186" s="4"/>
      <c r="E186" s="4"/>
      <c r="F186" s="4"/>
      <c r="G186" s="4"/>
      <c r="H186" s="4"/>
      <c r="I186" s="4"/>
      <c r="J186" s="4"/>
      <c r="K186" s="112" t="s">
        <v>120</v>
      </c>
      <c r="L186" s="4"/>
      <c r="M186" s="4"/>
      <c r="N186" s="4"/>
      <c r="O186" s="4"/>
      <c r="P186" s="4"/>
      <c r="Q186" s="4"/>
      <c r="R186" s="4"/>
      <c r="S186" s="4"/>
      <c r="T186" s="4"/>
      <c r="U186" s="4"/>
      <c r="V186" s="4"/>
      <c r="W186" s="4"/>
      <c r="X186" s="4"/>
      <c r="Y186" s="4"/>
      <c r="Z186" s="4"/>
      <c r="AA186" s="4"/>
    </row>
    <row r="187" spans="1:27" ht="12.7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spans="1:27" ht="12.75">
      <c r="A188" s="4"/>
      <c r="B188" s="4"/>
      <c r="C188" s="4"/>
      <c r="D188" s="4"/>
      <c r="E188" s="4"/>
      <c r="F188" s="4"/>
      <c r="G188" s="4"/>
      <c r="H188" s="4"/>
      <c r="I188" s="4"/>
      <c r="J188" s="4"/>
      <c r="K188" s="370">
        <f ca="1">TODAY()</f>
        <v>45148</v>
      </c>
      <c r="L188" s="370"/>
      <c r="M188" s="370"/>
      <c r="N188" s="4"/>
      <c r="O188" s="4"/>
      <c r="P188" s="4"/>
      <c r="Q188" s="4"/>
      <c r="R188" s="4"/>
      <c r="S188" s="4"/>
      <c r="T188" s="4"/>
      <c r="U188" s="4"/>
      <c r="V188" s="4"/>
      <c r="W188" s="4"/>
      <c r="X188" s="4"/>
      <c r="Y188" s="4"/>
      <c r="Z188" s="4"/>
      <c r="AA188" s="4"/>
    </row>
    <row r="189" spans="1:27" ht="12.75">
      <c r="A189" s="4"/>
      <c r="B189" s="4"/>
      <c r="C189" s="4"/>
      <c r="D189" s="4"/>
      <c r="E189" s="4"/>
      <c r="F189" s="4"/>
      <c r="G189" s="4"/>
      <c r="H189" s="4"/>
      <c r="I189" s="4"/>
      <c r="J189" s="4"/>
      <c r="K189" s="141" t="s">
        <v>121</v>
      </c>
      <c r="L189" s="83"/>
      <c r="M189" s="83"/>
      <c r="N189" s="4"/>
      <c r="O189" s="4"/>
      <c r="P189" s="4"/>
      <c r="Q189" s="4"/>
      <c r="R189" s="4"/>
      <c r="S189" s="4"/>
      <c r="T189" s="4"/>
      <c r="U189" s="4"/>
      <c r="V189" s="4"/>
      <c r="W189" s="4"/>
      <c r="X189" s="4"/>
      <c r="Y189" s="4"/>
      <c r="Z189" s="4"/>
      <c r="AA189" s="4"/>
    </row>
  </sheetData>
  <sheetProtection algorithmName="SHA-512" hashValue="exLv4bLFpbpgqmMuzntDMPT76Z/n/ho3yVhH7ud86Y/YicAh/TPiqWj+jfHK+09dGgsXr4SQclJQd0R+tDDpKw==" saltValue="aBcf1SYTQ1FaB7O1lVE4Dg==" spinCount="100000" sheet="1" objects="1" scenarios="1"/>
  <mergeCells count="6">
    <mergeCell ref="W2:X2"/>
    <mergeCell ref="K182:T182"/>
    <mergeCell ref="K178:T180"/>
    <mergeCell ref="M175:T175"/>
    <mergeCell ref="K188:M188"/>
    <mergeCell ref="K185:M185"/>
  </mergeCells>
  <conditionalFormatting sqref="O12:R12 L12:M12">
    <cfRule type="expression" priority="3668" dxfId="120" stopIfTrue="1">
      <formula>$J12=$C$2</formula>
    </cfRule>
    <cfRule type="expression" priority="3669" dxfId="510" stopIfTrue="1">
      <formula>UPPER(LEFT($J12,5))="NÍVEL"</formula>
    </cfRule>
    <cfRule type="expression" priority="3670" dxfId="512" stopIfTrue="1">
      <formula>$J12=$C$8</formula>
    </cfRule>
  </conditionalFormatting>
  <conditionalFormatting sqref="Y12:Z12 S12:T12 K12">
    <cfRule type="expression" priority="3671" dxfId="120" stopIfTrue="1">
      <formula>$J12=$C$2</formula>
    </cfRule>
    <cfRule type="expression" priority="3672" dxfId="510" stopIfTrue="1">
      <formula>UPPER(LEFT($J12,5))="NÍVEL"</formula>
    </cfRule>
  </conditionalFormatting>
  <conditionalFormatting sqref="K11 K13:K173">
    <cfRule type="expression" priority="3684" dxfId="51" stopIfTrue="1">
      <formula>$J11=$C$2</formula>
    </cfRule>
    <cfRule type="expression" priority="3685" dxfId="119" stopIfTrue="1">
      <formula>AND($J11&lt;&gt;"",$J11&lt;&gt;"Serviço")</formula>
    </cfRule>
    <cfRule type="expression" priority="3686" dxfId="118" stopIfTrue="1">
      <formula>$J11=""</formula>
    </cfRule>
  </conditionalFormatting>
  <conditionalFormatting sqref="P11 P13:P173">
    <cfRule type="expression" priority="2011" dxfId="506" stopIfTrue="1">
      <formula>$J11=$C$2</formula>
    </cfRule>
    <cfRule type="expression" priority="3690" dxfId="505" stopIfTrue="1">
      <formula>AND($J11&lt;&gt;"Serviço")</formula>
    </cfRule>
    <cfRule type="expression" priority="3691" dxfId="504" stopIfTrue="1">
      <formula>CELL("proteger",P11)</formula>
    </cfRule>
  </conditionalFormatting>
  <conditionalFormatting sqref="Q11:R11 Q13:R173">
    <cfRule type="expression" priority="3692" dxfId="492" stopIfTrue="1">
      <formula>$J11=$C$2</formula>
    </cfRule>
    <cfRule type="expression" priority="3693" dxfId="491" stopIfTrue="1">
      <formula>$J11&lt;&gt;"Serviço"</formula>
    </cfRule>
    <cfRule type="expression" priority="3694" dxfId="356" stopIfTrue="1">
      <formula>CELL("proteger",Q11)</formula>
    </cfRule>
  </conditionalFormatting>
  <conditionalFormatting sqref="S11:T11 Y11:Z11 S13:T173 Y13:Z173">
    <cfRule type="expression" priority="3695" dxfId="51" stopIfTrue="1">
      <formula>$J11=$C$2</formula>
    </cfRule>
    <cfRule type="expression" priority="3696" dxfId="119" stopIfTrue="1">
      <formula>$J11&lt;&gt;"Serviço"</formula>
    </cfRule>
  </conditionalFormatting>
  <conditionalFormatting sqref="L11:M11 L13:M173">
    <cfRule type="expression" priority="3716" dxfId="492" stopIfTrue="1">
      <formula>$J11=$C$2</formula>
    </cfRule>
    <cfRule type="expression" priority="3717" dxfId="491" stopIfTrue="1">
      <formula>$J11&lt;&gt;"Serviço"</formula>
    </cfRule>
    <cfRule type="expression" priority="3718" dxfId="356" stopIfTrue="1">
      <formula>OR(CELL("proteger",L11),$J11="",TipoOrçamento="Licitado")</formula>
    </cfRule>
  </conditionalFormatting>
  <conditionalFormatting sqref="K175:T175">
    <cfRule type="expression" priority="3697" dxfId="103" stopIfTrue="1">
      <formula>OR(Tipo.Orçamento="LICITADO",Tipo.Orçamento="REPROGRAMADOAC")</formula>
    </cfRule>
    <cfRule type="expression" priority="3698" dxfId="494" stopIfTrue="1">
      <formula>$M$175=""</formula>
    </cfRule>
  </conditionalFormatting>
  <conditionalFormatting sqref="J11 J13:J14 J36 J20 J38 J28:J29 J52:J58 J61:J63 J84:J85 J143:J144 J146:J152 J154 J156:J160 J162 J164 J167 J16:J18">
    <cfRule type="expression" priority="3725" dxfId="356" stopIfTrue="1">
      <formula>TipoOrçamento="Licitado"</formula>
    </cfRule>
  </conditionalFormatting>
  <conditionalFormatting sqref="O11 O13:O173">
    <cfRule type="expression" priority="2031" dxfId="492" stopIfTrue="1">
      <formula>$J11=$C$2</formula>
    </cfRule>
    <cfRule type="expression" priority="2032" dxfId="491" stopIfTrue="1">
      <formula>AND($J11&lt;&gt;"Serviço")</formula>
    </cfRule>
    <cfRule type="expression" priority="2033" dxfId="356" stopIfTrue="1">
      <formula>CELL("proteger",O11)</formula>
    </cfRule>
  </conditionalFormatting>
  <conditionalFormatting sqref="N11 N14:N173">
    <cfRule type="expression" priority="2034" dxfId="486" stopIfTrue="1">
      <formula>$J11=$C$2</formula>
    </cfRule>
    <cfRule type="expression" priority="2035" dxfId="119" stopIfTrue="1">
      <formula>$J11&lt;&gt;"Serviço"</formula>
    </cfRule>
    <cfRule type="expression" priority="2036" dxfId="356" stopIfTrue="1">
      <formula>CELL("proteger",N11)</formula>
    </cfRule>
  </conditionalFormatting>
  <conditionalFormatting sqref="N13">
    <cfRule type="expression" priority="1900" dxfId="486" stopIfTrue="1">
      <formula>$J13=$C$2</formula>
    </cfRule>
    <cfRule type="expression" priority="1901" dxfId="119" stopIfTrue="1">
      <formula>$J13&lt;&gt;"Serviço"</formula>
    </cfRule>
    <cfRule type="expression" priority="1902" dxfId="356" stopIfTrue="1">
      <formula>CELL("proteger",N13)</formula>
    </cfRule>
  </conditionalFormatting>
  <conditionalFormatting sqref="J15 J19">
    <cfRule type="expression" priority="1407" dxfId="356" stopIfTrue="1">
      <formula>TipoOrçamento="Licitado"</formula>
    </cfRule>
  </conditionalFormatting>
  <conditionalFormatting sqref="J21:J24">
    <cfRule type="expression" priority="1386" dxfId="356" stopIfTrue="1">
      <formula>TipoOrçamento="Licitado"</formula>
    </cfRule>
  </conditionalFormatting>
  <conditionalFormatting sqref="J31">
    <cfRule type="expression" priority="1344" dxfId="356" stopIfTrue="1">
      <formula>TipoOrçamento="Licitado"</formula>
    </cfRule>
  </conditionalFormatting>
  <conditionalFormatting sqref="J32">
    <cfRule type="expression" priority="1323" dxfId="356" stopIfTrue="1">
      <formula>TipoOrçamento="Licitado"</formula>
    </cfRule>
  </conditionalFormatting>
  <conditionalFormatting sqref="J37">
    <cfRule type="expression" priority="1281" dxfId="356" stopIfTrue="1">
      <formula>TipoOrçamento="Licitado"</formula>
    </cfRule>
  </conditionalFormatting>
  <conditionalFormatting sqref="J30">
    <cfRule type="expression" priority="1218" dxfId="356" stopIfTrue="1">
      <formula>TipoOrçamento="Licitado"</formula>
    </cfRule>
  </conditionalFormatting>
  <conditionalFormatting sqref="J39">
    <cfRule type="expression" priority="1197" dxfId="356" stopIfTrue="1">
      <formula>TipoOrçamento="Licitado"</formula>
    </cfRule>
  </conditionalFormatting>
  <conditionalFormatting sqref="J27">
    <cfRule type="expression" priority="1008" dxfId="356" stopIfTrue="1">
      <formula>TipoOrçamento="Licitado"</formula>
    </cfRule>
  </conditionalFormatting>
  <conditionalFormatting sqref="J25">
    <cfRule type="expression" priority="945" dxfId="356" stopIfTrue="1">
      <formula>TipoOrçamento="Licitado"</formula>
    </cfRule>
  </conditionalFormatting>
  <conditionalFormatting sqref="J33">
    <cfRule type="expression" priority="924" dxfId="356" stopIfTrue="1">
      <formula>TipoOrçamento="Licitado"</formula>
    </cfRule>
  </conditionalFormatting>
  <conditionalFormatting sqref="J34:J35">
    <cfRule type="expression" priority="903" dxfId="356" stopIfTrue="1">
      <formula>TipoOrçamento="Licitado"</formula>
    </cfRule>
  </conditionalFormatting>
  <conditionalFormatting sqref="J40">
    <cfRule type="expression" priority="882" dxfId="356" stopIfTrue="1">
      <formula>TipoOrçamento="Licitado"</formula>
    </cfRule>
  </conditionalFormatting>
  <conditionalFormatting sqref="J42:J50">
    <cfRule type="expression" priority="861" dxfId="356" stopIfTrue="1">
      <formula>TipoOrçamento="Licitado"</formula>
    </cfRule>
  </conditionalFormatting>
  <conditionalFormatting sqref="J26">
    <cfRule type="expression" priority="840" dxfId="356" stopIfTrue="1">
      <formula>TipoOrçamento="Licitado"</formula>
    </cfRule>
  </conditionalFormatting>
  <conditionalFormatting sqref="J41">
    <cfRule type="expression" priority="819" dxfId="356" stopIfTrue="1">
      <formula>TipoOrçamento="Licitado"</formula>
    </cfRule>
  </conditionalFormatting>
  <conditionalFormatting sqref="J51">
    <cfRule type="expression" priority="798" dxfId="356" stopIfTrue="1">
      <formula>TipoOrçamento="Licitado"</formula>
    </cfRule>
  </conditionalFormatting>
  <conditionalFormatting sqref="J64:J72 J115">
    <cfRule type="expression" priority="777" dxfId="356" stopIfTrue="1">
      <formula>TipoOrçamento="Licitado"</formula>
    </cfRule>
  </conditionalFormatting>
  <conditionalFormatting sqref="J73 J91:J92 J102:J104 J89 J86:J87 J95">
    <cfRule type="expression" priority="756" dxfId="356" stopIfTrue="1">
      <formula>TipoOrçamento="Licitado"</formula>
    </cfRule>
  </conditionalFormatting>
  <conditionalFormatting sqref="J90">
    <cfRule type="expression" priority="735" dxfId="356" stopIfTrue="1">
      <formula>TipoOrçamento="Licitado"</formula>
    </cfRule>
  </conditionalFormatting>
  <conditionalFormatting sqref="J105:J114">
    <cfRule type="expression" priority="714" dxfId="356" stopIfTrue="1">
      <formula>TipoOrçamento="Licitado"</formula>
    </cfRule>
  </conditionalFormatting>
  <conditionalFormatting sqref="J59:J60">
    <cfRule type="expression" priority="693" dxfId="356" stopIfTrue="1">
      <formula>TipoOrçamento="Licitado"</formula>
    </cfRule>
  </conditionalFormatting>
  <conditionalFormatting sqref="J97:J100">
    <cfRule type="expression" priority="672" dxfId="356" stopIfTrue="1">
      <formula>TipoOrçamento="Licitado"</formula>
    </cfRule>
  </conditionalFormatting>
  <conditionalFormatting sqref="J88">
    <cfRule type="expression" priority="651" dxfId="356" stopIfTrue="1">
      <formula>TipoOrçamento="Licitado"</formula>
    </cfRule>
  </conditionalFormatting>
  <conditionalFormatting sqref="J117 J119:J123 J142 J137:J139">
    <cfRule type="expression" priority="609" dxfId="356" stopIfTrue="1">
      <formula>TipoOrçamento="Licitado"</formula>
    </cfRule>
  </conditionalFormatting>
  <conditionalFormatting sqref="J116">
    <cfRule type="expression" priority="588" dxfId="356" stopIfTrue="1">
      <formula>TipoOrçamento="Licitado"</formula>
    </cfRule>
  </conditionalFormatting>
  <conditionalFormatting sqref="J118">
    <cfRule type="expression" priority="567" dxfId="356" stopIfTrue="1">
      <formula>TipoOrçamento="Licitado"</formula>
    </cfRule>
  </conditionalFormatting>
  <conditionalFormatting sqref="J74:J78">
    <cfRule type="expression" priority="546" dxfId="356" stopIfTrue="1">
      <formula>TipoOrçamento="Licitado"</formula>
    </cfRule>
  </conditionalFormatting>
  <conditionalFormatting sqref="J79:J83">
    <cfRule type="expression" priority="525" dxfId="356" stopIfTrue="1">
      <formula>TipoOrçamento="Licitado"</formula>
    </cfRule>
  </conditionalFormatting>
  <conditionalFormatting sqref="J96">
    <cfRule type="expression" priority="483" dxfId="356" stopIfTrue="1">
      <formula>TipoOrçamento="Licitado"</formula>
    </cfRule>
  </conditionalFormatting>
  <conditionalFormatting sqref="J141">
    <cfRule type="expression" priority="441" dxfId="356" stopIfTrue="1">
      <formula>TipoOrçamento="Licitado"</formula>
    </cfRule>
  </conditionalFormatting>
  <conditionalFormatting sqref="J124:J133">
    <cfRule type="expression" priority="399" dxfId="356" stopIfTrue="1">
      <formula>TipoOrçamento="Licitado"</formula>
    </cfRule>
  </conditionalFormatting>
  <conditionalFormatting sqref="J134:J136">
    <cfRule type="expression" priority="357" dxfId="356" stopIfTrue="1">
      <formula>TipoOrçamento="Licitado"</formula>
    </cfRule>
  </conditionalFormatting>
  <conditionalFormatting sqref="J153">
    <cfRule type="expression" priority="336" dxfId="356" stopIfTrue="1">
      <formula>TipoOrçamento="Licitado"</formula>
    </cfRule>
  </conditionalFormatting>
  <conditionalFormatting sqref="J171:J173">
    <cfRule type="expression" priority="315" dxfId="356" stopIfTrue="1">
      <formula>TipoOrçamento="Licitado"</formula>
    </cfRule>
  </conditionalFormatting>
  <conditionalFormatting sqref="J93">
    <cfRule type="expression" priority="294" dxfId="356" stopIfTrue="1">
      <formula>TipoOrçamento="Licitado"</formula>
    </cfRule>
  </conditionalFormatting>
  <conditionalFormatting sqref="J94">
    <cfRule type="expression" priority="273" dxfId="356" stopIfTrue="1">
      <formula>TipoOrçamento="Licitado"</formula>
    </cfRule>
  </conditionalFormatting>
  <conditionalFormatting sqref="J101">
    <cfRule type="expression" priority="231" dxfId="356" stopIfTrue="1">
      <formula>TipoOrçamento="Licitado"</formula>
    </cfRule>
  </conditionalFormatting>
  <conditionalFormatting sqref="J145">
    <cfRule type="expression" priority="210" dxfId="356" stopIfTrue="1">
      <formula>TipoOrçamento="Licitado"</formula>
    </cfRule>
  </conditionalFormatting>
  <conditionalFormatting sqref="J155">
    <cfRule type="expression" priority="189" dxfId="356" stopIfTrue="1">
      <formula>TipoOrçamento="Licitado"</formula>
    </cfRule>
  </conditionalFormatting>
  <conditionalFormatting sqref="J161">
    <cfRule type="expression" priority="168" dxfId="356" stopIfTrue="1">
      <formula>TipoOrçamento="Licitado"</formula>
    </cfRule>
  </conditionalFormatting>
  <conditionalFormatting sqref="J163">
    <cfRule type="expression" priority="147" dxfId="356" stopIfTrue="1">
      <formula>TipoOrçamento="Licitado"</formula>
    </cfRule>
  </conditionalFormatting>
  <conditionalFormatting sqref="J165">
    <cfRule type="expression" priority="126" dxfId="356" stopIfTrue="1">
      <formula>TipoOrçamento="Licitado"</formula>
    </cfRule>
  </conditionalFormatting>
  <conditionalFormatting sqref="J166">
    <cfRule type="expression" priority="105" dxfId="356" stopIfTrue="1">
      <formula>TipoOrçamento="Licitado"</formula>
    </cfRule>
  </conditionalFormatting>
  <conditionalFormatting sqref="J168">
    <cfRule type="expression" priority="84" dxfId="356" stopIfTrue="1">
      <formula>TipoOrçamento="Licitado"</formula>
    </cfRule>
  </conditionalFormatting>
  <conditionalFormatting sqref="J169">
    <cfRule type="expression" priority="63" dxfId="356" stopIfTrue="1">
      <formula>TipoOrçamento="Licitado"</formula>
    </cfRule>
  </conditionalFormatting>
  <conditionalFormatting sqref="J170">
    <cfRule type="expression" priority="42" dxfId="356" stopIfTrue="1">
      <formula>TipoOrçamento="Licitado"</formula>
    </cfRule>
  </conditionalFormatting>
  <conditionalFormatting sqref="J140">
    <cfRule type="expression" priority="21" dxfId="356" stopIfTrue="1">
      <formula>TipoOrçamento="Licitado"</formula>
    </cfRule>
  </conditionalFormatting>
  <dataValidations count="3">
    <dataValidation type="decimal" operator="greaterThan" allowBlank="1" showInputMessage="1" showErrorMessage="1" error="Apenas números decimais maiores que zero." sqref="Q11 Q13:Q173">
      <formula1>0</formula1>
    </dataValidation>
    <dataValidation errorStyle="warning" type="list" allowBlank="1" showInputMessage="1" showErrorMessage="1" error="Selecione um dos 5 BDI da lista._x000a__x000a_Caso tenha mais de 5 BDI nesta Planilha Orçamentária digite apenas valor percentual." sqref="R11 R13:R173">
      <formula1>Dados.Lista.BDI</formula1>
    </dataValidation>
    <dataValidation type="list" showInputMessage="1" showErrorMessage="1" promptTitle="Nível:" prompt="Selecione na lista o nível de itemização da Planilha." errorTitle="Erro de Entrada" error="Selecione somente os itens da lista." sqref="J11 J14:J173">
      <formula1>$C$2:$G$2</formula1>
    </dataValidation>
  </dataValidations>
  <printOptions/>
  <pageMargins left="0.78740157480315" right="0.78740157480315" top="0.78740157480315" bottom="0.78740157480315" header="0.590551181102362" footer="0.590551181102362"/>
  <pageSetup fitToHeight="0" fitToWidth="1" horizontalDpi="600" verticalDpi="600" orientation="landscape" paperSize="9" scale="63" r:id="rId3"/>
  <headerFooter alignWithMargins="0">
    <oddHeader>&amp;C&amp;14I</oddHeader>
    <oddFooter>&amp;L27.476 v008   micro&amp;R&amp;P</oddFooter>
  </headerFooter>
  <ignoredErrors>
    <ignoredError sqref="K185 K188" unlockedFormula="1"/>
  </ignoredErrors>
  <drawing r:id="rId2"/>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2">
    <tabColor rgb="FFFFFF00"/>
  </sheetPr>
  <dimension ref="A1:AE180"/>
  <sheetViews>
    <sheetView showGridLines="0" zoomScale="80" zoomScaleNormal="80" zoomScaleSheetLayoutView="100" workbookViewId="0" topLeftCell="A1">
      <pane xSplit="5" ySplit="10" topLeftCell="F11" activePane="bottomRight" state="frozen"/>
      <selection pane="topRight" activeCell="A1" sqref="A1"/>
      <selection pane="bottomLeft" activeCell="A1" sqref="A1"/>
      <selection pane="bottomRight" activeCell="F110" sqref="F110"/>
    </sheetView>
  </sheetViews>
  <sheetFormatPr defaultColWidth="9.140625" defaultRowHeight="12.75"/>
  <cols>
    <col min="1" max="1" width="12.7109375" style="0" customWidth="1"/>
    <col min="2" max="2" width="10.7109375" style="0" customWidth="1"/>
    <col min="3" max="3" width="60.57421875" style="0" customWidth="1"/>
    <col min="4" max="4" width="7.7109375" style="0" customWidth="1"/>
    <col min="5" max="5" width="12.7109375" style="0" customWidth="1"/>
    <col min="6" max="25" width="11.7109375" style="0" customWidth="1"/>
    <col min="26" max="26" width="0.85546875" style="0" customWidth="1"/>
    <col min="31" max="31" width="11.7109375" style="0" hidden="1" customWidth="1"/>
  </cols>
  <sheetData>
    <row r="1" spans="5:25" s="4" customFormat="1" ht="17.25" customHeight="1">
      <c r="E1" s="85" t="s">
        <v>63</v>
      </c>
      <c r="F1" s="36" t="s">
        <v>64</v>
      </c>
      <c r="K1" s="18"/>
      <c r="O1"/>
      <c r="P1" s="36" t="s">
        <v>64</v>
      </c>
      <c r="U1" s="18"/>
      <c r="Y1"/>
    </row>
    <row r="2" spans="4:25" s="4" customFormat="1" ht="15.75">
      <c r="D2" s="6"/>
      <c r="E2" s="85"/>
      <c r="F2" s="36"/>
      <c r="K2" s="19"/>
      <c r="O2"/>
      <c r="P2" s="36"/>
      <c r="U2" s="19"/>
      <c r="Y2"/>
    </row>
    <row r="3" spans="11:26" s="4" customFormat="1" ht="12.75">
      <c r="K3" s="20"/>
      <c r="U3" s="20"/>
      <c r="Z3" s="20"/>
    </row>
    <row r="4" s="4" customFormat="1" ht="39.9" customHeight="1">
      <c r="Z4" s="20"/>
    </row>
    <row r="5" s="4" customFormat="1" ht="39.9" customHeight="1">
      <c r="Z5" s="20"/>
    </row>
    <row r="6" s="4" customFormat="1" ht="20.25" customHeight="1">
      <c r="Z6" s="20"/>
    </row>
    <row r="7" spans="5:26" s="4" customFormat="1" ht="12.75" customHeight="1" hidden="1">
      <c r="E7" s="224">
        <f ca="1">OFFSET(PO!$P$12,ROW($E7)-ROW(E$12),0)</f>
        <v>0</v>
      </c>
      <c r="Z7" s="20"/>
    </row>
    <row r="8" s="4" customFormat="1" ht="9.9" customHeight="1">
      <c r="Z8" s="20"/>
    </row>
    <row r="9" spans="2:31" s="4" customFormat="1" ht="60" customHeight="1">
      <c r="B9" s="17"/>
      <c r="C9" s="14"/>
      <c r="D9" s="9"/>
      <c r="E9" s="146" t="s">
        <v>46</v>
      </c>
      <c r="F9" s="122" t="s">
        <v>386</v>
      </c>
      <c r="G9" s="122" t="s">
        <v>387</v>
      </c>
      <c r="H9" s="122" t="s">
        <v>388</v>
      </c>
      <c r="I9" s="122" t="s">
        <v>389</v>
      </c>
      <c r="J9" s="122" t="s">
        <v>390</v>
      </c>
      <c r="K9" s="122" t="s">
        <v>391</v>
      </c>
      <c r="L9" s="122" t="s">
        <v>392</v>
      </c>
      <c r="M9" s="122" t="s">
        <v>393</v>
      </c>
      <c r="N9" s="122" t="s">
        <v>394</v>
      </c>
      <c r="O9" s="122" t="s">
        <v>395</v>
      </c>
      <c r="P9" s="122" t="s">
        <v>396</v>
      </c>
      <c r="Q9" s="122" t="s">
        <v>397</v>
      </c>
      <c r="R9" s="122" t="s">
        <v>398</v>
      </c>
      <c r="S9" s="122"/>
      <c r="T9" s="122"/>
      <c r="U9" s="122"/>
      <c r="V9" s="122"/>
      <c r="W9" s="122"/>
      <c r="X9" s="122"/>
      <c r="Y9" s="122"/>
      <c r="AE9" s="122"/>
    </row>
    <row r="10" spans="1:31" s="15" customFormat="1" ht="30" customHeight="1">
      <c r="A10" s="123" t="s">
        <v>3</v>
      </c>
      <c r="B10" s="123" t="s">
        <v>146</v>
      </c>
      <c r="C10" s="123" t="s">
        <v>141</v>
      </c>
      <c r="D10" s="124" t="s">
        <v>157</v>
      </c>
      <c r="E10" s="123" t="s">
        <v>147</v>
      </c>
      <c r="F10" s="125">
        <f aca="true" ca="1" t="shared" si="0" ref="F10:Y10">IF(OFFSET(F10,0,-1)="Quantidade",1,OFFSET(F10,0,-1)+1)</f>
        <v>1</v>
      </c>
      <c r="G10" s="125">
        <f ca="1" t="shared" si="0"/>
        <v>2</v>
      </c>
      <c r="H10" s="125">
        <f ca="1" t="shared" si="0"/>
        <v>3</v>
      </c>
      <c r="I10" s="125">
        <f ca="1" t="shared" si="0"/>
        <v>4</v>
      </c>
      <c r="J10" s="125">
        <f ca="1" t="shared" si="0"/>
        <v>5</v>
      </c>
      <c r="K10" s="125">
        <f ca="1" t="shared" si="0"/>
        <v>6</v>
      </c>
      <c r="L10" s="125">
        <f ca="1" t="shared" si="0"/>
        <v>7</v>
      </c>
      <c r="M10" s="125">
        <f ca="1" t="shared" si="0"/>
        <v>8</v>
      </c>
      <c r="N10" s="125">
        <f ca="1" t="shared" si="0"/>
        <v>9</v>
      </c>
      <c r="O10" s="125">
        <f ca="1" t="shared" si="0"/>
        <v>10</v>
      </c>
      <c r="P10" s="125">
        <f ca="1" t="shared" si="0"/>
        <v>11</v>
      </c>
      <c r="Q10" s="125">
        <f ca="1" t="shared" si="0"/>
        <v>12</v>
      </c>
      <c r="R10" s="125">
        <f ca="1" t="shared" si="0"/>
        <v>13</v>
      </c>
      <c r="S10" s="125">
        <f ca="1" t="shared" si="0"/>
        <v>14</v>
      </c>
      <c r="T10" s="125">
        <f ca="1" t="shared" si="0"/>
        <v>15</v>
      </c>
      <c r="U10" s="125">
        <f ca="1" t="shared" si="0"/>
        <v>16</v>
      </c>
      <c r="V10" s="125">
        <f ca="1" t="shared" si="0"/>
        <v>17</v>
      </c>
      <c r="W10" s="125">
        <f ca="1" t="shared" si="0"/>
        <v>18</v>
      </c>
      <c r="X10" s="125">
        <f ca="1" t="shared" si="0"/>
        <v>19</v>
      </c>
      <c r="Y10" s="125">
        <f ca="1" t="shared" si="0"/>
        <v>20</v>
      </c>
      <c r="AE10" s="125">
        <f ca="1">IF(OFFSET(AE10,0,-1)="Quantidade",1,OFFSET(AE10,0,-1)+1)</f>
        <v>1</v>
      </c>
    </row>
    <row r="11" spans="1:31" s="4" customFormat="1" ht="12.75" hidden="1">
      <c r="A11" s="128" t="str">
        <f ca="1">OFFSET(PO!J$12,ROW(A11)-ROW($A$12),0)</f>
        <v>Serviço</v>
      </c>
      <c r="B11" s="130" t="e">
        <f ca="1">IF($A11=0,"",OFFSET(PO!K$12,ROW(B11)-ROW(B$12),0))</f>
        <v>#VALUE!</v>
      </c>
      <c r="C11" s="127" t="str">
        <f ca="1">IF(OFFSET(PO!N$12,ROW(C11)-ROW(C$12),0)=0,"",OFFSET(PO!N$12,ROW(C11)-ROW(C$12),0))</f>
        <v/>
      </c>
      <c r="D11" s="129" t="str">
        <f ca="1">IF(OFFSET(PO!O$12,ROW(D11)-ROW(D$12),0)=0,"",OFFSET(PO!O$12,ROW(D11)-ROW(D$12),0))</f>
        <v/>
      </c>
      <c r="E11" s="165">
        <f ca="1">IF($A11&lt;&gt;"Serviço",0,ROUND(SUMIF($F$9:$Z$9,"&lt;&gt;",$F11:$Z11),15-13*PO!$X$3))</f>
        <v>0</v>
      </c>
      <c r="F11" s="215"/>
      <c r="G11" s="215"/>
      <c r="H11" s="215"/>
      <c r="I11" s="215"/>
      <c r="J11" s="215"/>
      <c r="K11" s="215"/>
      <c r="L11" s="215"/>
      <c r="M11" s="215"/>
      <c r="N11" s="215"/>
      <c r="O11" s="215"/>
      <c r="P11" s="215"/>
      <c r="Q11" s="215"/>
      <c r="R11" s="215"/>
      <c r="S11" s="215"/>
      <c r="T11" s="215"/>
      <c r="U11" s="215"/>
      <c r="V11" s="215"/>
      <c r="W11" s="215"/>
      <c r="X11" s="215"/>
      <c r="Y11" s="215"/>
      <c r="AE11" s="215"/>
    </row>
    <row r="12" spans="1:31" s="4" customFormat="1" ht="12.75">
      <c r="A12" s="76" t="str">
        <f>PO!J12</f>
        <v>LOTE</v>
      </c>
      <c r="B12" s="76"/>
      <c r="C12" s="76" t="str">
        <f>PO!N12</f>
        <v xml:space="preserve">Áreas do Município </v>
      </c>
      <c r="D12" s="76"/>
      <c r="E12" s="216"/>
      <c r="F12" s="217"/>
      <c r="G12" s="217"/>
      <c r="H12" s="217"/>
      <c r="I12" s="217"/>
      <c r="J12" s="217"/>
      <c r="K12" s="217"/>
      <c r="L12" s="217"/>
      <c r="M12" s="217"/>
      <c r="N12" s="217"/>
      <c r="O12" s="217"/>
      <c r="P12" s="217"/>
      <c r="Q12" s="217"/>
      <c r="R12" s="217"/>
      <c r="S12" s="217"/>
      <c r="T12" s="217"/>
      <c r="U12" s="217"/>
      <c r="V12" s="217"/>
      <c r="W12" s="217"/>
      <c r="X12" s="217"/>
      <c r="Y12" s="217"/>
      <c r="AE12" s="217"/>
    </row>
    <row r="13" spans="1:31" s="4" customFormat="1" ht="12.75">
      <c r="A13" s="126" t="str">
        <f ca="1">OFFSET(PO!J$12,ROW(A13)-ROW($A$12),0)</f>
        <v>Meta</v>
      </c>
      <c r="B13" s="130" t="str">
        <f ca="1">IF($A13=0,"",OFFSET(PO!K$12,ROW(B13)-ROW(B$12),0))</f>
        <v>1.</v>
      </c>
      <c r="C13" s="127" t="str">
        <f ca="1">IF(OFFSET(PO!N$12,ROW(C13)-ROW(C$12),0)=0,"",OFFSET(PO!N$12,ROW(C13)-ROW(C$12),0))</f>
        <v xml:space="preserve">Centros de Comercialização de Produtos Associados ao Turismo </v>
      </c>
      <c r="D13" s="129" t="str">
        <f ca="1">IF(OFFSET(PO!O$12,ROW(D13)-ROW(D$12),0)=0,"",OFFSET(PO!O$12,ROW(D13)-ROW(D$12),0))</f>
        <v/>
      </c>
      <c r="E13" s="165">
        <f ca="1">IF($A13&lt;&gt;"Serviço",0,ROUND(SUMIF($F$9:$Z$9,"&lt;&gt;",$F13:$Z13),15-13*PO!$X$3))</f>
        <v>0</v>
      </c>
      <c r="F13" s="215">
        <v>0</v>
      </c>
      <c r="G13" s="215"/>
      <c r="H13" s="215"/>
      <c r="I13" s="215"/>
      <c r="J13" s="215"/>
      <c r="K13" s="215"/>
      <c r="L13" s="215"/>
      <c r="M13" s="215"/>
      <c r="N13" s="215"/>
      <c r="O13" s="215"/>
      <c r="P13" s="215"/>
      <c r="Q13" s="215"/>
      <c r="R13" s="215"/>
      <c r="S13" s="215"/>
      <c r="T13" s="215"/>
      <c r="U13" s="215"/>
      <c r="V13" s="215"/>
      <c r="W13" s="215"/>
      <c r="X13" s="215"/>
      <c r="Y13" s="215"/>
      <c r="AE13" s="215"/>
    </row>
    <row r="14" spans="1:31" s="4" customFormat="1" ht="12.75">
      <c r="A14" s="128" t="str">
        <f ca="1">OFFSET(PO!J$12,ROW(A14)-ROW($A$12),0)</f>
        <v>Nível 2</v>
      </c>
      <c r="B14" s="130" t="str">
        <f ca="1">IF($A14=0,"",OFFSET(PO!K$12,ROW(B14)-ROW(B$12),0))</f>
        <v>1.1.</v>
      </c>
      <c r="C14" s="127" t="str">
        <f ca="1">IF(OFFSET(PO!N$12,ROW(C14)-ROW(C$12),0)=0,"",OFFSET(PO!N$12,ROW(C14)-ROW(C$12),0))</f>
        <v xml:space="preserve">Serviços Preliminares e movimentação de terra </v>
      </c>
      <c r="D14" s="129" t="str">
        <f ca="1">IF(OFFSET(PO!O$12,ROW(D14)-ROW(D$12),0)=0,"",OFFSET(PO!O$12,ROW(D14)-ROW(D$12),0))</f>
        <v/>
      </c>
      <c r="E14" s="165">
        <f ca="1">IF($A14&lt;&gt;"Serviço",0,ROUND(SUMIF($F$9:$Z$9,"&lt;&gt;",$F14:$Z14),15-13*PO!$X$3))</f>
        <v>0</v>
      </c>
      <c r="F14" s="215">
        <v>0</v>
      </c>
      <c r="G14" s="215"/>
      <c r="H14" s="215"/>
      <c r="I14" s="215"/>
      <c r="J14" s="215"/>
      <c r="K14" s="215"/>
      <c r="L14" s="215"/>
      <c r="M14" s="215"/>
      <c r="N14" s="215"/>
      <c r="O14" s="215"/>
      <c r="P14" s="215"/>
      <c r="Q14" s="215"/>
      <c r="R14" s="215"/>
      <c r="S14" s="215"/>
      <c r="T14" s="215"/>
      <c r="U14" s="215"/>
      <c r="V14" s="215"/>
      <c r="W14" s="215"/>
      <c r="X14" s="215"/>
      <c r="Y14" s="215"/>
      <c r="AE14" s="215"/>
    </row>
    <row r="15" spans="1:31" s="4" customFormat="1" ht="26.4">
      <c r="A15" s="128" t="str">
        <f ca="1">OFFSET(PO!J$12,ROW(A15)-ROW($A$12),0)</f>
        <v>Serviço</v>
      </c>
      <c r="B15" s="130" t="str">
        <f ca="1">IF($A15=0,"",OFFSET(PO!K$12,ROW(B15)-ROW(B$12),0))</f>
        <v>1.1.1.</v>
      </c>
      <c r="C15" s="127" t="str">
        <f ca="1">IF(OFFSET(PO!N$12,ROW(C15)-ROW(C$12),0)=0,"",OFFSET(PO!N$12,ROW(C15)-ROW(C$12),0))</f>
        <v>Placa de Obra em Chapa Galvanizada 2,0x1,5m</v>
      </c>
      <c r="D15" s="129" t="str">
        <f ca="1">IF(OFFSET(PO!O$12,ROW(D15)-ROW(D$12),0)=0,"",OFFSET(PO!O$12,ROW(D15)-ROW(D$12),0))</f>
        <v>UNIDADE</v>
      </c>
      <c r="E15" s="165">
        <f ca="1">IF($A15&lt;&gt;"Serviço",0,ROUND(SUMIF($F$9:$Z$9,"&lt;&gt;",$F15:$Z15),15-13*PO!$X$3))</f>
        <v>1</v>
      </c>
      <c r="F15" s="215">
        <v>1</v>
      </c>
      <c r="G15" s="215"/>
      <c r="H15" s="215"/>
      <c r="I15" s="215"/>
      <c r="J15" s="215"/>
      <c r="K15" s="215"/>
      <c r="L15" s="215"/>
      <c r="M15" s="215"/>
      <c r="N15" s="215"/>
      <c r="O15" s="215"/>
      <c r="P15" s="215"/>
      <c r="Q15" s="215"/>
      <c r="R15" s="215"/>
      <c r="S15" s="215"/>
      <c r="T15" s="215"/>
      <c r="U15" s="215"/>
      <c r="V15" s="215"/>
      <c r="W15" s="215"/>
      <c r="X15" s="215"/>
      <c r="Y15" s="215"/>
      <c r="AE15" s="215"/>
    </row>
    <row r="16" spans="1:31" s="4" customFormat="1" ht="39.6">
      <c r="A16" s="128" t="str">
        <f ca="1">OFFSET(PO!J$12,ROW(A16)-ROW($A$12),0)</f>
        <v>Serviço</v>
      </c>
      <c r="B16" s="130" t="str">
        <f ca="1">IF($A16=0,"",OFFSET(PO!K$12,ROW(B16)-ROW(B$12),0))</f>
        <v>1.1.2.</v>
      </c>
      <c r="C16" s="127" t="str">
        <f ca="1">IF(OFFSET(PO!N$12,ROW(C16)-ROW(C$12),0)=0,"",OFFSET(PO!N$12,ROW(C16)-ROW(C$12),0))</f>
        <v>LOCACAO CONVENCIONAL DE OBRA, UTILIZANDO GABARITO DE TÁBUAS CORRIDAS PONTALETADAS A CADA 2,00M -  2 UTILIZAÇÕES. AF_10/2018</v>
      </c>
      <c r="D16" s="129" t="str">
        <f ca="1">IF(OFFSET(PO!O$12,ROW(D16)-ROW(D$12),0)=0,"",OFFSET(PO!O$12,ROW(D16)-ROW(D$12),0))</f>
        <v>M</v>
      </c>
      <c r="E16" s="165">
        <f ca="1">IF($A16&lt;&gt;"Serviço",0,ROUND(SUMIF($F$9:$Z$9,"&lt;&gt;",$F16:$Z16),15-13*PO!$X$3))</f>
        <v>650</v>
      </c>
      <c r="F16" s="215">
        <v>50</v>
      </c>
      <c r="G16" s="215">
        <v>50</v>
      </c>
      <c r="H16" s="215">
        <v>50</v>
      </c>
      <c r="I16" s="215">
        <v>50</v>
      </c>
      <c r="J16" s="215">
        <v>50</v>
      </c>
      <c r="K16" s="215">
        <v>50</v>
      </c>
      <c r="L16" s="215">
        <v>50</v>
      </c>
      <c r="M16" s="215">
        <v>50</v>
      </c>
      <c r="N16" s="215">
        <v>50</v>
      </c>
      <c r="O16" s="215">
        <v>50</v>
      </c>
      <c r="P16" s="215">
        <v>50</v>
      </c>
      <c r="Q16" s="215">
        <v>50</v>
      </c>
      <c r="R16" s="215">
        <v>50</v>
      </c>
      <c r="S16" s="215"/>
      <c r="T16" s="215"/>
      <c r="U16" s="215"/>
      <c r="V16" s="215"/>
      <c r="W16" s="215"/>
      <c r="X16" s="215"/>
      <c r="Y16" s="215"/>
      <c r="AE16" s="215"/>
    </row>
    <row r="17" spans="1:31" s="4" customFormat="1" ht="66">
      <c r="A17" s="128" t="str">
        <f ca="1">OFFSET(PO!J$12,ROW(A17)-ROW($A$12),0)</f>
        <v>Serviço</v>
      </c>
      <c r="B17" s="130" t="str">
        <f ca="1">IF($A17=0,"",OFFSET(PO!K$12,ROW(B17)-ROW(B$12),0))</f>
        <v>1.1.3.</v>
      </c>
      <c r="C17" s="127" t="str">
        <f ca="1">IF(OFFSET(PO!N$12,ROW(C17)-ROW(C$12),0)=0,"",OFFSET(PO!N$12,ROW(C17)-ROW(C$12),0))</f>
        <v>ESCAVAÇÃO VERTICAL PARA  EDIFICAÇÃO, COM CARGA, DESCARGA E TRANSPORTE DE SOLO DE 1ª CATEGORIA, COM ESCAVADEIRA HIDRÁULICA (CAÇAMBA: 1,2 M³ / 155 HP), FROTA DE 6 CAMINHÕES BASCULANTES DE 18 M³, DMT DE 4 KM E VELOCIDADE MÉDIA 22 KM/H. AF_05/2020</v>
      </c>
      <c r="D17" s="129" t="str">
        <f ca="1">IF(OFFSET(PO!O$12,ROW(D17)-ROW(D$12),0)=0,"",OFFSET(PO!O$12,ROW(D17)-ROW(D$12),0))</f>
        <v>M3</v>
      </c>
      <c r="E17" s="165">
        <f ca="1">IF($A17&lt;&gt;"Serviço",0,ROUND(SUMIF($F$9:$Z$9,"&lt;&gt;",$F17:$Z17),15-13*PO!$X$3))</f>
        <v>2890</v>
      </c>
      <c r="F17" s="215"/>
      <c r="G17" s="215">
        <v>1020</v>
      </c>
      <c r="H17" s="215">
        <v>1020</v>
      </c>
      <c r="I17" s="215"/>
      <c r="J17" s="215"/>
      <c r="K17" s="215"/>
      <c r="L17" s="215"/>
      <c r="M17" s="215"/>
      <c r="N17" s="215"/>
      <c r="O17" s="215">
        <v>340</v>
      </c>
      <c r="P17" s="215"/>
      <c r="Q17" s="215">
        <v>510</v>
      </c>
      <c r="R17" s="215"/>
      <c r="S17" s="215"/>
      <c r="T17" s="215"/>
      <c r="U17" s="215"/>
      <c r="V17" s="215"/>
      <c r="W17" s="215"/>
      <c r="X17" s="215"/>
      <c r="Y17" s="215"/>
      <c r="AE17" s="215"/>
    </row>
    <row r="18" spans="1:31" s="4" customFormat="1" ht="12.75">
      <c r="A18" s="128" t="str">
        <f ca="1">OFFSET(PO!J$12,ROW(A18)-ROW($A$12),0)</f>
        <v>Serviço</v>
      </c>
      <c r="B18" s="130" t="str">
        <f ca="1">IF($A18=0,"",OFFSET(PO!K$12,ROW(B18)-ROW(B$12),0))</f>
        <v>1.1.4.</v>
      </c>
      <c r="C18" s="127" t="str">
        <f ca="1">IF(OFFSET(PO!N$12,ROW(C18)-ROW(C$12),0)=0,"",OFFSET(PO!N$12,ROW(C18)-ROW(C$12),0))</f>
        <v>Recomposição mecanizada de aterro com material de jazida</v>
      </c>
      <c r="D18" s="129" t="str">
        <f ca="1">IF(OFFSET(PO!O$12,ROW(D18)-ROW(D$12),0)=0,"",OFFSET(PO!O$12,ROW(D18)-ROW(D$12),0))</f>
        <v>M³</v>
      </c>
      <c r="E18" s="165">
        <f ca="1">IF($A18&lt;&gt;"Serviço",0,ROUND(SUMIF($F$9:$Z$9,"&lt;&gt;",$F18:$Z18),15-13*PO!$X$3))</f>
        <v>1105</v>
      </c>
      <c r="F18" s="215"/>
      <c r="G18" s="215"/>
      <c r="H18" s="215"/>
      <c r="I18" s="215"/>
      <c r="J18" s="215"/>
      <c r="K18" s="215"/>
      <c r="L18" s="215"/>
      <c r="M18" s="215"/>
      <c r="N18" s="215">
        <v>595</v>
      </c>
      <c r="O18" s="215">
        <v>510</v>
      </c>
      <c r="P18" s="215"/>
      <c r="Q18" s="215"/>
      <c r="R18" s="215"/>
      <c r="S18" s="215"/>
      <c r="T18" s="215"/>
      <c r="U18" s="215"/>
      <c r="V18" s="215"/>
      <c r="W18" s="215"/>
      <c r="X18" s="215"/>
      <c r="Y18" s="215"/>
      <c r="AE18" s="215"/>
    </row>
    <row r="19" spans="1:31" s="4" customFormat="1" ht="26.4">
      <c r="A19" s="128" t="str">
        <f ca="1">OFFSET(PO!J$12,ROW(A19)-ROW($A$12),0)</f>
        <v>Serviço</v>
      </c>
      <c r="B19" s="130" t="str">
        <f ca="1">IF($A19=0,"",OFFSET(PO!K$12,ROW(B19)-ROW(B$12),0))</f>
        <v>1.1.5.</v>
      </c>
      <c r="C19" s="127" t="str">
        <f ca="1">IF(OFFSET(PO!N$12,ROW(C19)-ROW(C$12),0)=0,"",OFFSET(PO!N$12,ROW(C19)-ROW(C$12),0))</f>
        <v>REGULARIZAÇÃO DE SUPERFÍCIES COM MOTONIVELADORA. AF_11/2019</v>
      </c>
      <c r="D19" s="129" t="str">
        <f ca="1">IF(OFFSET(PO!O$12,ROW(D19)-ROW(D$12),0)=0,"",OFFSET(PO!O$12,ROW(D19)-ROW(D$12),0))</f>
        <v>M2</v>
      </c>
      <c r="E19" s="165">
        <f ca="1">IF($A19&lt;&gt;"Serviço",0,ROUND(SUMIF($F$9:$Z$9,"&lt;&gt;",$F19:$Z19),15-13*PO!$X$3))</f>
        <v>3744</v>
      </c>
      <c r="F19" s="215">
        <v>288</v>
      </c>
      <c r="G19" s="215">
        <v>288</v>
      </c>
      <c r="H19" s="215">
        <v>288</v>
      </c>
      <c r="I19" s="215">
        <v>288</v>
      </c>
      <c r="J19" s="215">
        <v>288</v>
      </c>
      <c r="K19" s="215">
        <v>288</v>
      </c>
      <c r="L19" s="215">
        <v>288</v>
      </c>
      <c r="M19" s="215">
        <v>288</v>
      </c>
      <c r="N19" s="215">
        <v>288</v>
      </c>
      <c r="O19" s="215">
        <v>288</v>
      </c>
      <c r="P19" s="215">
        <v>288</v>
      </c>
      <c r="Q19" s="215">
        <v>288</v>
      </c>
      <c r="R19" s="215">
        <v>288</v>
      </c>
      <c r="S19" s="215"/>
      <c r="T19" s="215"/>
      <c r="U19" s="215"/>
      <c r="V19" s="215"/>
      <c r="W19" s="215"/>
      <c r="X19" s="215"/>
      <c r="Y19" s="215"/>
      <c r="AE19" s="215"/>
    </row>
    <row r="20" spans="1:31" s="4" customFormat="1" ht="12.75">
      <c r="A20" s="128" t="str">
        <f ca="1">OFFSET(PO!J$12,ROW(A20)-ROW($A$12),0)</f>
        <v>Nível 2</v>
      </c>
      <c r="B20" s="130" t="str">
        <f ca="1">IF($A20=0,"",OFFSET(PO!K$12,ROW(B20)-ROW(B$12),0))</f>
        <v>1.2.</v>
      </c>
      <c r="C20" s="127" t="str">
        <f ca="1">IF(OFFSET(PO!N$12,ROW(C20)-ROW(C$12),0)=0,"",OFFSET(PO!N$12,ROW(C20)-ROW(C$12),0))</f>
        <v xml:space="preserve">Fundação </v>
      </c>
      <c r="D20" s="129" t="str">
        <f ca="1">IF(OFFSET(PO!O$12,ROW(D20)-ROW(D$12),0)=0,"",OFFSET(PO!O$12,ROW(D20)-ROW(D$12),0))</f>
        <v/>
      </c>
      <c r="E20" s="165">
        <f ca="1">IF($A20&lt;&gt;"Serviço",0,ROUND(SUMIF($F$9:$Z$9,"&lt;&gt;",$F20:$Z20),15-13*PO!$X$3))</f>
        <v>0</v>
      </c>
      <c r="F20" s="215">
        <v>0</v>
      </c>
      <c r="G20" s="215"/>
      <c r="H20" s="215"/>
      <c r="I20" s="215"/>
      <c r="J20" s="215"/>
      <c r="K20" s="215"/>
      <c r="L20" s="215"/>
      <c r="M20" s="215"/>
      <c r="N20" s="215"/>
      <c r="O20" s="215"/>
      <c r="P20" s="215"/>
      <c r="Q20" s="215"/>
      <c r="R20" s="215"/>
      <c r="S20" s="215"/>
      <c r="T20" s="215"/>
      <c r="U20" s="215"/>
      <c r="V20" s="215"/>
      <c r="W20" s="215"/>
      <c r="X20" s="215"/>
      <c r="Y20" s="215"/>
      <c r="AE20" s="215"/>
    </row>
    <row r="21" spans="1:31" s="4" customFormat="1" ht="66">
      <c r="A21" s="128" t="str">
        <f ca="1">OFFSET(PO!J$12,ROW(A21)-ROW($A$12),0)</f>
        <v>Serviço</v>
      </c>
      <c r="B21" s="130" t="str">
        <f ca="1">IF($A21=0,"",OFFSET(PO!K$12,ROW(B21)-ROW(B$12),0))</f>
        <v>1.2.1.</v>
      </c>
      <c r="C21" s="127" t="str">
        <f ca="1">IF(OFFSET(PO!N$12,ROW(C21)-ROW(C$12),0)=0,"",OFFSET(PO!N$12,ROW(C21)-ROW(C$12),0))</f>
        <v>ESCAVAÇÃO MECANIZADA DE VALA COM PROF. ATÉ 1,5 M (MÉDIA MONTANTE E JUSANTE/UMA COMPOSIÇÃO POR TRECHO), ESCAVADEIRA (0,8 M3), LARG. DE 1,5 M A 2,5 M, EM SOLO DE 1A CATEGORIA, EM LOCAIS COM ALTO NÍVEL DE INTERFERÊNCIA. AF_02/2021</v>
      </c>
      <c r="D21" s="129" t="str">
        <f ca="1">IF(OFFSET(PO!O$12,ROW(D21)-ROW(D$12),0)=0,"",OFFSET(PO!O$12,ROW(D21)-ROW(D$12),0))</f>
        <v>M3</v>
      </c>
      <c r="E21" s="165">
        <f ca="1">IF($A21&lt;&gt;"Serviço",0,ROUND(SUMIF($F$9:$Z$9,"&lt;&gt;",$F21:$Z21),15-13*PO!$X$3))</f>
        <v>103.61</v>
      </c>
      <c r="F21" s="215">
        <v>7.97</v>
      </c>
      <c r="G21" s="215">
        <v>7.97</v>
      </c>
      <c r="H21" s="215">
        <v>7.97</v>
      </c>
      <c r="I21" s="215">
        <v>7.97</v>
      </c>
      <c r="J21" s="215">
        <v>7.97</v>
      </c>
      <c r="K21" s="215">
        <v>7.97</v>
      </c>
      <c r="L21" s="215">
        <v>7.97</v>
      </c>
      <c r="M21" s="215">
        <v>7.97</v>
      </c>
      <c r="N21" s="215">
        <v>7.97</v>
      </c>
      <c r="O21" s="215">
        <v>7.97</v>
      </c>
      <c r="P21" s="215">
        <v>7.97</v>
      </c>
      <c r="Q21" s="215">
        <v>7.97</v>
      </c>
      <c r="R21" s="215">
        <v>7.97</v>
      </c>
      <c r="S21" s="215"/>
      <c r="T21" s="215"/>
      <c r="U21" s="215"/>
      <c r="V21" s="215"/>
      <c r="W21" s="215"/>
      <c r="X21" s="215"/>
      <c r="Y21" s="215"/>
      <c r="AE21" s="215"/>
    </row>
    <row r="22" spans="1:31" s="4" customFormat="1" ht="26.4">
      <c r="A22" s="128" t="str">
        <f ca="1">OFFSET(PO!J$12,ROW(A22)-ROW($A$12),0)</f>
        <v>Serviço</v>
      </c>
      <c r="B22" s="130" t="str">
        <f ca="1">IF($A22=0,"",OFFSET(PO!K$12,ROW(B22)-ROW(B$12),0))</f>
        <v>1.2.2.</v>
      </c>
      <c r="C22" s="127" t="str">
        <f ca="1">IF(OFFSET(PO!N$12,ROW(C22)-ROW(C$12),0)=0,"",OFFSET(PO!N$12,ROW(C22)-ROW(C$12),0))</f>
        <v>PREPARO DE FUNDO DE VALA COM LARGURA MENOR QUE 1,5 M (ACERTO DO SOLO NATURAL). AF_08/2020</v>
      </c>
      <c r="D22" s="129" t="str">
        <f ca="1">IF(OFFSET(PO!O$12,ROW(D22)-ROW(D$12),0)=0,"",OFFSET(PO!O$12,ROW(D22)-ROW(D$12),0))</f>
        <v>M2</v>
      </c>
      <c r="E22" s="165">
        <f ca="1">IF($A22&lt;&gt;"Serviço",0,ROUND(SUMIF($F$9:$Z$9,"&lt;&gt;",$F22:$Z22),15-13*PO!$X$3))</f>
        <v>103.61</v>
      </c>
      <c r="F22" s="215">
        <v>7.97</v>
      </c>
      <c r="G22" s="215">
        <v>7.97</v>
      </c>
      <c r="H22" s="215">
        <v>7.97</v>
      </c>
      <c r="I22" s="215">
        <v>7.97</v>
      </c>
      <c r="J22" s="215">
        <v>7.97</v>
      </c>
      <c r="K22" s="215">
        <v>7.97</v>
      </c>
      <c r="L22" s="215">
        <v>7.97</v>
      </c>
      <c r="M22" s="215">
        <v>7.97</v>
      </c>
      <c r="N22" s="215">
        <v>7.97</v>
      </c>
      <c r="O22" s="215">
        <v>7.97</v>
      </c>
      <c r="P22" s="215">
        <v>7.97</v>
      </c>
      <c r="Q22" s="215">
        <v>7.97</v>
      </c>
      <c r="R22" s="215">
        <v>7.97</v>
      </c>
      <c r="S22" s="215"/>
      <c r="T22" s="215"/>
      <c r="U22" s="215"/>
      <c r="V22" s="215"/>
      <c r="W22" s="215"/>
      <c r="X22" s="215"/>
      <c r="Y22" s="215"/>
      <c r="AE22" s="215"/>
    </row>
    <row r="23" spans="1:31" s="4" customFormat="1" ht="26.4">
      <c r="A23" s="128" t="str">
        <f ca="1">OFFSET(PO!J$12,ROW(A23)-ROW($A$12),0)</f>
        <v>Serviço</v>
      </c>
      <c r="B23" s="130" t="str">
        <f ca="1">IF($A23=0,"",OFFSET(PO!K$12,ROW(B23)-ROW(B$12),0))</f>
        <v>1.2.3.</v>
      </c>
      <c r="C23" s="127" t="str">
        <f ca="1">IF(OFFSET(PO!N$12,ROW(C23)-ROW(C$12),0)=0,"",OFFSET(PO!N$12,ROW(C23)-ROW(C$12),0))</f>
        <v>LASTRO DE CONCRETO MAGRO, APLICADO EM BLOCOS DE COROAMENTO OU SAPATAS, ESPESSURA DE 5 CM. AF_08/2017</v>
      </c>
      <c r="D23" s="129" t="str">
        <f ca="1">IF(OFFSET(PO!O$12,ROW(D23)-ROW(D$12),0)=0,"",OFFSET(PO!O$12,ROW(D23)-ROW(D$12),0))</f>
        <v>M2</v>
      </c>
      <c r="E23" s="165">
        <f ca="1">IF($A23&lt;&gt;"Serviço",0,ROUND(SUMIF($F$9:$Z$9,"&lt;&gt;",$F23:$Z23),15-13*PO!$X$3))</f>
        <v>103.61</v>
      </c>
      <c r="F23" s="215">
        <v>7.97</v>
      </c>
      <c r="G23" s="215">
        <v>7.97</v>
      </c>
      <c r="H23" s="215">
        <v>7.97</v>
      </c>
      <c r="I23" s="215">
        <v>7.97</v>
      </c>
      <c r="J23" s="215">
        <v>7.97</v>
      </c>
      <c r="K23" s="215">
        <v>7.97</v>
      </c>
      <c r="L23" s="215">
        <v>7.97</v>
      </c>
      <c r="M23" s="215">
        <v>7.97</v>
      </c>
      <c r="N23" s="215">
        <v>7.97</v>
      </c>
      <c r="O23" s="215">
        <v>7.97</v>
      </c>
      <c r="P23" s="215">
        <v>7.97</v>
      </c>
      <c r="Q23" s="215">
        <v>7.97</v>
      </c>
      <c r="R23" s="215">
        <v>7.97</v>
      </c>
      <c r="S23" s="215"/>
      <c r="T23" s="215"/>
      <c r="U23" s="215"/>
      <c r="V23" s="215"/>
      <c r="W23" s="215"/>
      <c r="X23" s="215"/>
      <c r="Y23" s="215"/>
      <c r="AE23" s="215"/>
    </row>
    <row r="24" spans="1:31" s="4" customFormat="1" ht="26.4">
      <c r="A24" s="128" t="str">
        <f ca="1">OFFSET(PO!J$12,ROW(A24)-ROW($A$12),0)</f>
        <v>Serviço</v>
      </c>
      <c r="B24" s="130" t="str">
        <f ca="1">IF($A24=0,"",OFFSET(PO!K$12,ROW(B24)-ROW(B$12),0))</f>
        <v>1.2.4.</v>
      </c>
      <c r="C24" s="127" t="str">
        <f ca="1">IF(OFFSET(PO!N$12,ROW(C24)-ROW(C$12),0)=0,"",OFFSET(PO!N$12,ROW(C24)-ROW(C$12),0))</f>
        <v>ARMAÇÃO DE BLOCO, VIGA BALDRAME OU SAPATA UTILIZANDO AÇO CA-50 DE 10 MM - MONTAGEM. AF_06/2017</v>
      </c>
      <c r="D24" s="129" t="str">
        <f ca="1">IF(OFFSET(PO!O$12,ROW(D24)-ROW(D$12),0)=0,"",OFFSET(PO!O$12,ROW(D24)-ROW(D$12),0))</f>
        <v>KG</v>
      </c>
      <c r="E24" s="165">
        <f ca="1">IF($A24&lt;&gt;"Serviço",0,ROUND(SUMIF($F$9:$Z$9,"&lt;&gt;",$F24:$Z24),15-13*PO!$X$3))</f>
        <v>1698.84</v>
      </c>
      <c r="F24" s="215">
        <v>130.68</v>
      </c>
      <c r="G24" s="215">
        <v>130.68</v>
      </c>
      <c r="H24" s="215">
        <v>130.68</v>
      </c>
      <c r="I24" s="215">
        <v>130.68</v>
      </c>
      <c r="J24" s="215">
        <v>130.68</v>
      </c>
      <c r="K24" s="215">
        <v>130.68</v>
      </c>
      <c r="L24" s="215">
        <v>130.68</v>
      </c>
      <c r="M24" s="215">
        <v>130.68</v>
      </c>
      <c r="N24" s="215">
        <v>130.68</v>
      </c>
      <c r="O24" s="215">
        <v>130.68</v>
      </c>
      <c r="P24" s="215">
        <v>130.68</v>
      </c>
      <c r="Q24" s="215">
        <v>130.68</v>
      </c>
      <c r="R24" s="215">
        <v>130.68</v>
      </c>
      <c r="S24" s="215"/>
      <c r="T24" s="215"/>
      <c r="U24" s="215"/>
      <c r="V24" s="215"/>
      <c r="W24" s="215"/>
      <c r="X24" s="215"/>
      <c r="Y24" s="215"/>
      <c r="AE24" s="215"/>
    </row>
    <row r="25" spans="1:31" s="4" customFormat="1" ht="39.6">
      <c r="A25" s="128" t="str">
        <f ca="1">OFFSET(PO!J$12,ROW(A25)-ROW($A$12),0)</f>
        <v>Serviço</v>
      </c>
      <c r="B25" s="130" t="str">
        <f ca="1">IF($A25=0,"",OFFSET(PO!K$12,ROW(B25)-ROW(B$12),0))</f>
        <v>1.2.5.</v>
      </c>
      <c r="C25" s="127" t="str">
        <f ca="1">IF(OFFSET(PO!N$12,ROW(C25)-ROW(C$12),0)=0,"",OFFSET(PO!N$12,ROW(C25)-ROW(C$12),0))</f>
        <v>ARMAÇÃO DE PILAR OU VIGA DE ESTRUTURA CONVENCIONAL DE CONCRETO ARMADO UTILIZANDO AÇO CA-50 DE 10,0 MM - MONTAGEM. AF_06/2022</v>
      </c>
      <c r="D25" s="129" t="str">
        <f ca="1">IF(OFFSET(PO!O$12,ROW(D25)-ROW(D$12),0)=0,"",OFFSET(PO!O$12,ROW(D25)-ROW(D$12),0))</f>
        <v>KG</v>
      </c>
      <c r="E25" s="165">
        <f ca="1">IF($A25&lt;&gt;"Serviço",0,ROUND(SUMIF($F$9:$Z$9,"&lt;&gt;",$F25:$Z25),15-13*PO!$X$3))</f>
        <v>487.76</v>
      </c>
      <c r="F25" s="215">
        <v>37.52</v>
      </c>
      <c r="G25" s="215">
        <v>37.52</v>
      </c>
      <c r="H25" s="215">
        <v>37.52</v>
      </c>
      <c r="I25" s="215">
        <v>37.52</v>
      </c>
      <c r="J25" s="215">
        <v>37.52</v>
      </c>
      <c r="K25" s="215">
        <v>37.52</v>
      </c>
      <c r="L25" s="215">
        <v>37.52</v>
      </c>
      <c r="M25" s="215">
        <v>37.52</v>
      </c>
      <c r="N25" s="215">
        <v>37.52</v>
      </c>
      <c r="O25" s="215">
        <v>37.52</v>
      </c>
      <c r="P25" s="215">
        <v>37.52</v>
      </c>
      <c r="Q25" s="215">
        <v>37.52</v>
      </c>
      <c r="R25" s="215">
        <v>37.52</v>
      </c>
      <c r="S25" s="215"/>
      <c r="T25" s="215"/>
      <c r="U25" s="215"/>
      <c r="V25" s="215"/>
      <c r="W25" s="215"/>
      <c r="X25" s="215"/>
      <c r="Y25" s="215"/>
      <c r="AE25" s="215"/>
    </row>
    <row r="26" spans="1:31" s="4" customFormat="1" ht="39.6">
      <c r="A26" s="128" t="str">
        <f ca="1">OFFSET(PO!J$12,ROW(A26)-ROW($A$12),0)</f>
        <v>Serviço</v>
      </c>
      <c r="B26" s="130" t="str">
        <f ca="1">IF($A26=0,"",OFFSET(PO!K$12,ROW(B26)-ROW(B$12),0))</f>
        <v>1.2.6.</v>
      </c>
      <c r="C26" s="127" t="str">
        <f ca="1">IF(OFFSET(PO!N$12,ROW(C26)-ROW(C$12),0)=0,"",OFFSET(PO!N$12,ROW(C26)-ROW(C$12),0))</f>
        <v>ARMAÇÃO DE PILAR OU VIGA DE ESTRUTURA CONVENCIONAL DE CONCRETO ARMADO UTILIZANDO AÇO CA-60 DE 5,0 MM - MONTAGEM. AF_06/2022</v>
      </c>
      <c r="D26" s="129" t="str">
        <f ca="1">IF(OFFSET(PO!O$12,ROW(D26)-ROW(D$12),0)=0,"",OFFSET(PO!O$12,ROW(D26)-ROW(D$12),0))</f>
        <v>KG</v>
      </c>
      <c r="E26" s="165">
        <f ca="1">IF($A26&lt;&gt;"Serviço",0,ROUND(SUMIF($F$9:$Z$9,"&lt;&gt;",$F26:$Z26),15-13*PO!$X$3))</f>
        <v>109.85</v>
      </c>
      <c r="F26" s="215">
        <v>8.45</v>
      </c>
      <c r="G26" s="215">
        <v>8.45</v>
      </c>
      <c r="H26" s="215">
        <v>8.45</v>
      </c>
      <c r="I26" s="215">
        <v>8.45</v>
      </c>
      <c r="J26" s="215">
        <v>8.45</v>
      </c>
      <c r="K26" s="215">
        <v>8.45</v>
      </c>
      <c r="L26" s="215">
        <v>8.45</v>
      </c>
      <c r="M26" s="215">
        <v>8.45</v>
      </c>
      <c r="N26" s="215">
        <v>8.45</v>
      </c>
      <c r="O26" s="215">
        <v>8.45</v>
      </c>
      <c r="P26" s="215">
        <v>8.45</v>
      </c>
      <c r="Q26" s="215">
        <v>8.45</v>
      </c>
      <c r="R26" s="215">
        <v>8.45</v>
      </c>
      <c r="S26" s="215"/>
      <c r="T26" s="215"/>
      <c r="U26" s="215"/>
      <c r="V26" s="215"/>
      <c r="W26" s="215"/>
      <c r="X26" s="215"/>
      <c r="Y26" s="215"/>
      <c r="AE26" s="215"/>
    </row>
    <row r="27" spans="1:31" s="4" customFormat="1" ht="26.4">
      <c r="A27" s="128" t="str">
        <f ca="1">OFFSET(PO!J$12,ROW(A27)-ROW($A$12),0)</f>
        <v>Serviço</v>
      </c>
      <c r="B27" s="130" t="str">
        <f ca="1">IF($A27=0,"",OFFSET(PO!K$12,ROW(B27)-ROW(B$12),0))</f>
        <v>1.2.7.</v>
      </c>
      <c r="C27" s="127" t="str">
        <f ca="1">IF(OFFSET(PO!N$12,ROW(C27)-ROW(C$12),0)=0,"",OFFSET(PO!N$12,ROW(C27)-ROW(C$12),0))</f>
        <v>CONCRETAGEM DE SAPATAS, FCK 30 MPA, COM USO DE BOMBA  LANÇAMENTO, ADENSAMENTO E ACABAMENTO. AF_11/2016</v>
      </c>
      <c r="D27" s="129" t="str">
        <f ca="1">IF(OFFSET(PO!O$12,ROW(D27)-ROW(D$12),0)=0,"",OFFSET(PO!O$12,ROW(D27)-ROW(D$12),0))</f>
        <v>M3</v>
      </c>
      <c r="E27" s="165">
        <f ca="1">IF($A27&lt;&gt;"Serviço",0,ROUND(SUMIF($F$9:$Z$9,"&lt;&gt;",$F27:$Z27),15-13*PO!$X$3))</f>
        <v>47.32</v>
      </c>
      <c r="F27" s="215">
        <v>3.64</v>
      </c>
      <c r="G27" s="215">
        <v>3.64</v>
      </c>
      <c r="H27" s="215">
        <v>3.64</v>
      </c>
      <c r="I27" s="215">
        <v>3.64</v>
      </c>
      <c r="J27" s="215">
        <v>3.64</v>
      </c>
      <c r="K27" s="215">
        <v>3.64</v>
      </c>
      <c r="L27" s="215">
        <v>3.64</v>
      </c>
      <c r="M27" s="215">
        <v>3.64</v>
      </c>
      <c r="N27" s="215">
        <v>3.64</v>
      </c>
      <c r="O27" s="215">
        <v>3.64</v>
      </c>
      <c r="P27" s="215">
        <v>3.64</v>
      </c>
      <c r="Q27" s="215">
        <v>3.64</v>
      </c>
      <c r="R27" s="215">
        <v>3.64</v>
      </c>
      <c r="S27" s="215"/>
      <c r="T27" s="215"/>
      <c r="U27" s="215"/>
      <c r="V27" s="215"/>
      <c r="W27" s="215"/>
      <c r="X27" s="215"/>
      <c r="Y27" s="215"/>
      <c r="AE27" s="215"/>
    </row>
    <row r="28" spans="1:31" s="4" customFormat="1" ht="26.4">
      <c r="A28" s="128" t="str">
        <f ca="1">OFFSET(PO!J$12,ROW(A28)-ROW($A$12),0)</f>
        <v>Serviço</v>
      </c>
      <c r="B28" s="130" t="str">
        <f ca="1">IF($A28=0,"",OFFSET(PO!K$12,ROW(B28)-ROW(B$12),0))</f>
        <v>1.2.8.</v>
      </c>
      <c r="C28" s="127" t="str">
        <f ca="1">IF(OFFSET(PO!N$12,ROW(C28)-ROW(C$12),0)=0,"",OFFSET(PO!N$12,ROW(C28)-ROW(C$12),0))</f>
        <v>REATERRO MANUAL DE VALAS COM COMPACTAÇÃO MECANIZADA. AF_04/2016</v>
      </c>
      <c r="D28" s="129" t="str">
        <f ca="1">IF(OFFSET(PO!O$12,ROW(D28)-ROW(D$12),0)=0,"",OFFSET(PO!O$12,ROW(D28)-ROW(D$12),0))</f>
        <v>M3</v>
      </c>
      <c r="E28" s="165">
        <f ca="1">IF($A28&lt;&gt;"Serviço",0,ROUND(SUMIF($F$9:$Z$9,"&lt;&gt;",$F28:$Z28),15-13*PO!$X$3))</f>
        <v>61.75</v>
      </c>
      <c r="F28" s="215">
        <v>4.75</v>
      </c>
      <c r="G28" s="215">
        <v>4.75</v>
      </c>
      <c r="H28" s="215">
        <v>4.75</v>
      </c>
      <c r="I28" s="215">
        <v>4.75</v>
      </c>
      <c r="J28" s="215">
        <v>4.75</v>
      </c>
      <c r="K28" s="215">
        <v>4.75</v>
      </c>
      <c r="L28" s="215">
        <v>4.75</v>
      </c>
      <c r="M28" s="215">
        <v>4.75</v>
      </c>
      <c r="N28" s="215">
        <v>4.75</v>
      </c>
      <c r="O28" s="215">
        <v>4.75</v>
      </c>
      <c r="P28" s="215">
        <v>4.75</v>
      </c>
      <c r="Q28" s="215">
        <v>4.75</v>
      </c>
      <c r="R28" s="215">
        <v>4.75</v>
      </c>
      <c r="S28" s="215"/>
      <c r="T28" s="215"/>
      <c r="U28" s="215"/>
      <c r="V28" s="215"/>
      <c r="W28" s="215"/>
      <c r="X28" s="215"/>
      <c r="Y28" s="215"/>
      <c r="AE28" s="215"/>
    </row>
    <row r="29" spans="1:31" s="4" customFormat="1" ht="12.75">
      <c r="A29" s="128" t="str">
        <f ca="1">OFFSET(PO!J$12,ROW(A29)-ROW($A$12),0)</f>
        <v>Nível 2</v>
      </c>
      <c r="B29" s="130" t="str">
        <f ca="1">IF($A29=0,"",OFFSET(PO!K$12,ROW(B29)-ROW(B$12),0))</f>
        <v>1.3.</v>
      </c>
      <c r="C29" s="127" t="str">
        <f ca="1">IF(OFFSET(PO!N$12,ROW(C29)-ROW(C$12),0)=0,"",OFFSET(PO!N$12,ROW(C29)-ROW(C$12),0))</f>
        <v>Alicerce 20x60cm</v>
      </c>
      <c r="D29" s="129" t="str">
        <f ca="1">IF(OFFSET(PO!O$12,ROW(D29)-ROW(D$12),0)=0,"",OFFSET(PO!O$12,ROW(D29)-ROW(D$12),0))</f>
        <v/>
      </c>
      <c r="E29" s="165">
        <f ca="1">IF($A29&lt;&gt;"Serviço",0,ROUND(SUMIF($F$9:$Z$9,"&lt;&gt;",$F29:$Z29),15-13*PO!$X$3))</f>
        <v>0</v>
      </c>
      <c r="F29" s="215">
        <v>0</v>
      </c>
      <c r="G29" s="215"/>
      <c r="H29" s="215"/>
      <c r="I29" s="215"/>
      <c r="J29" s="215"/>
      <c r="K29" s="215"/>
      <c r="L29" s="215"/>
      <c r="M29" s="215"/>
      <c r="N29" s="215"/>
      <c r="O29" s="215"/>
      <c r="P29" s="215"/>
      <c r="Q29" s="215"/>
      <c r="R29" s="215"/>
      <c r="S29" s="215"/>
      <c r="T29" s="215"/>
      <c r="U29" s="215"/>
      <c r="V29" s="215"/>
      <c r="W29" s="215"/>
      <c r="X29" s="215"/>
      <c r="Y29" s="215"/>
      <c r="AE29" s="215"/>
    </row>
    <row r="30" spans="1:31" s="4" customFormat="1" ht="26.4">
      <c r="A30" s="128" t="str">
        <f ca="1">OFFSET(PO!J$12,ROW(A30)-ROW($A$12),0)</f>
        <v>Serviço</v>
      </c>
      <c r="B30" s="130" t="str">
        <f ca="1">IF($A30=0,"",OFFSET(PO!K$12,ROW(B30)-ROW(B$12),0))</f>
        <v>1.3.1.</v>
      </c>
      <c r="C30" s="127" t="str">
        <f ca="1">IF(OFFSET(PO!N$12,ROW(C30)-ROW(C$12),0)=0,"",OFFSET(PO!N$12,ROW(C30)-ROW(C$12),0))</f>
        <v>ESCAVAÇÃO MANUAL DE VALA COM PROFUNDIDADE MENOR OU IGUAL A 1,30 M. AF_02/2021</v>
      </c>
      <c r="D30" s="129" t="str">
        <f ca="1">IF(OFFSET(PO!O$12,ROW(D30)-ROW(D$12),0)=0,"",OFFSET(PO!O$12,ROW(D30)-ROW(D$12),0))</f>
        <v>m²</v>
      </c>
      <c r="E30" s="165">
        <f ca="1">IF($A30&lt;&gt;"Serviço",0,ROUND(SUMIF($F$9:$Z$9,"&lt;&gt;",$F30:$Z30),15-13*PO!$X$3))</f>
        <v>59.15</v>
      </c>
      <c r="F30" s="215">
        <v>4.55</v>
      </c>
      <c r="G30" s="215">
        <v>4.55</v>
      </c>
      <c r="H30" s="215">
        <v>4.55</v>
      </c>
      <c r="I30" s="215">
        <v>4.55</v>
      </c>
      <c r="J30" s="215">
        <v>4.55</v>
      </c>
      <c r="K30" s="215">
        <v>4.55</v>
      </c>
      <c r="L30" s="215">
        <v>4.55</v>
      </c>
      <c r="M30" s="215">
        <v>4.55</v>
      </c>
      <c r="N30" s="215">
        <v>4.55</v>
      </c>
      <c r="O30" s="215">
        <v>4.55</v>
      </c>
      <c r="P30" s="215">
        <v>4.55</v>
      </c>
      <c r="Q30" s="215">
        <v>4.55</v>
      </c>
      <c r="R30" s="215">
        <v>4.55</v>
      </c>
      <c r="S30" s="215"/>
      <c r="T30" s="215"/>
      <c r="U30" s="215"/>
      <c r="V30" s="215"/>
      <c r="W30" s="215"/>
      <c r="X30" s="215"/>
      <c r="Y30" s="215"/>
      <c r="AE30" s="215"/>
    </row>
    <row r="31" spans="1:31" s="4" customFormat="1" ht="26.4">
      <c r="A31" s="128" t="str">
        <f ca="1">OFFSET(PO!J$12,ROW(A31)-ROW($A$12),0)</f>
        <v>Serviço</v>
      </c>
      <c r="B31" s="130" t="str">
        <f ca="1">IF($A31=0,"",OFFSET(PO!K$12,ROW(B31)-ROW(B$12),0))</f>
        <v>1.3.2.</v>
      </c>
      <c r="C31" s="127" t="str">
        <f ca="1">IF(OFFSET(PO!N$12,ROW(C31)-ROW(C$12),0)=0,"",OFFSET(PO!N$12,ROW(C31)-ROW(C$12),0))</f>
        <v>PREPARO DE FUNDO DE VALA COM LARGURA MENOR QUE 1,5 M (ACERTO DO SOLO NATURAL). AF_08/2020</v>
      </c>
      <c r="D31" s="129" t="str">
        <f ca="1">IF(OFFSET(PO!O$12,ROW(D31)-ROW(D$12),0)=0,"",OFFSET(PO!O$12,ROW(D31)-ROW(D$12),0))</f>
        <v>M2</v>
      </c>
      <c r="E31" s="165">
        <f ca="1">IF($A31&lt;&gt;"Serviço",0,ROUND(SUMIF($F$9:$Z$9,"&lt;&gt;",$F31:$Z31),15-13*PO!$X$3))</f>
        <v>169</v>
      </c>
      <c r="F31" s="215">
        <v>13</v>
      </c>
      <c r="G31" s="215">
        <v>13</v>
      </c>
      <c r="H31" s="215">
        <v>13</v>
      </c>
      <c r="I31" s="215">
        <v>13</v>
      </c>
      <c r="J31" s="215">
        <v>13</v>
      </c>
      <c r="K31" s="215">
        <v>13</v>
      </c>
      <c r="L31" s="215">
        <v>13</v>
      </c>
      <c r="M31" s="215">
        <v>13</v>
      </c>
      <c r="N31" s="215">
        <v>13</v>
      </c>
      <c r="O31" s="215">
        <v>13</v>
      </c>
      <c r="P31" s="215">
        <v>13</v>
      </c>
      <c r="Q31" s="215">
        <v>13</v>
      </c>
      <c r="R31" s="215">
        <v>13</v>
      </c>
      <c r="S31" s="215"/>
      <c r="T31" s="215"/>
      <c r="U31" s="215"/>
      <c r="V31" s="215"/>
      <c r="W31" s="215"/>
      <c r="X31" s="215"/>
      <c r="Y31" s="215"/>
      <c r="AE31" s="215"/>
    </row>
    <row r="32" spans="1:31" s="4" customFormat="1" ht="26.4">
      <c r="A32" s="128" t="str">
        <f ca="1">OFFSET(PO!J$12,ROW(A32)-ROW($A$12),0)</f>
        <v>Serviço</v>
      </c>
      <c r="B32" s="130" t="str">
        <f ca="1">IF($A32=0,"",OFFSET(PO!K$12,ROW(B32)-ROW(B$12),0))</f>
        <v>1.3.3.</v>
      </c>
      <c r="C32" s="127" t="str">
        <f ca="1">IF(OFFSET(PO!N$12,ROW(C32)-ROW(C$12),0)=0,"",OFFSET(PO!N$12,ROW(C32)-ROW(C$12),0))</f>
        <v>LASTRO DE CONCRETO MAGRO, APLICADO EM PISOS, LAJES SOBRE SOLO OU RADIERS, ESPESSURA DE 5 CM. AF_07/2016</v>
      </c>
      <c r="D32" s="129" t="str">
        <f ca="1">IF(OFFSET(PO!O$12,ROW(D32)-ROW(D$12),0)=0,"",OFFSET(PO!O$12,ROW(D32)-ROW(D$12),0))</f>
        <v>M2</v>
      </c>
      <c r="E32" s="165">
        <f ca="1">IF($A32&lt;&gt;"Serviço",0,ROUND(SUMIF($F$9:$Z$9,"&lt;&gt;",$F32:$Z32),15-13*PO!$X$3))</f>
        <v>169</v>
      </c>
      <c r="F32" s="215">
        <v>13</v>
      </c>
      <c r="G32" s="215">
        <v>13</v>
      </c>
      <c r="H32" s="215">
        <v>13</v>
      </c>
      <c r="I32" s="215">
        <v>13</v>
      </c>
      <c r="J32" s="215">
        <v>13</v>
      </c>
      <c r="K32" s="215">
        <v>13</v>
      </c>
      <c r="L32" s="215">
        <v>13</v>
      </c>
      <c r="M32" s="215">
        <v>13</v>
      </c>
      <c r="N32" s="215">
        <v>13</v>
      </c>
      <c r="O32" s="215">
        <v>13</v>
      </c>
      <c r="P32" s="215">
        <v>13</v>
      </c>
      <c r="Q32" s="215">
        <v>13</v>
      </c>
      <c r="R32" s="215">
        <v>13</v>
      </c>
      <c r="S32" s="215"/>
      <c r="T32" s="215"/>
      <c r="U32" s="215"/>
      <c r="V32" s="215"/>
      <c r="W32" s="215"/>
      <c r="X32" s="215"/>
      <c r="Y32" s="215"/>
      <c r="AE32" s="215"/>
    </row>
    <row r="33" spans="1:31" s="4" customFormat="1" ht="26.4">
      <c r="A33" s="128" t="str">
        <f ca="1">OFFSET(PO!J$12,ROW(A33)-ROW($A$12),0)</f>
        <v>Serviço</v>
      </c>
      <c r="B33" s="130" t="str">
        <f ca="1">IF($A33=0,"",OFFSET(PO!K$12,ROW(B33)-ROW(B$12),0))</f>
        <v>1.3.4.</v>
      </c>
      <c r="C33" s="127" t="str">
        <f ca="1">IF(OFFSET(PO!N$12,ROW(C33)-ROW(C$12),0)=0,"",OFFSET(PO!N$12,ROW(C33)-ROW(C$12),0))</f>
        <v>Alvenaria de tijolos maciços 5x10x20cm (1 vez, para alicerce), assentados com argamassa traço 1:2:8 (cimento, cal e areia)</v>
      </c>
      <c r="D33" s="129" t="str">
        <f ca="1">IF(OFFSET(PO!O$12,ROW(D33)-ROW(D$12),0)=0,"",OFFSET(PO!O$12,ROW(D33)-ROW(D$12),0))</f>
        <v>M²</v>
      </c>
      <c r="E33" s="165">
        <f ca="1">IF($A33&lt;&gt;"Serviço",0,ROUND(SUMIF($F$9:$Z$9,"&lt;&gt;",$F33:$Z33),15-13*PO!$X$3))</f>
        <v>506.61</v>
      </c>
      <c r="F33" s="215">
        <v>38.97</v>
      </c>
      <c r="G33" s="215">
        <v>38.97</v>
      </c>
      <c r="H33" s="215">
        <v>38.97</v>
      </c>
      <c r="I33" s="215">
        <v>38.97</v>
      </c>
      <c r="J33" s="215">
        <v>38.97</v>
      </c>
      <c r="K33" s="215">
        <v>38.97</v>
      </c>
      <c r="L33" s="215">
        <v>38.97</v>
      </c>
      <c r="M33" s="215">
        <v>38.97</v>
      </c>
      <c r="N33" s="215">
        <v>38.97</v>
      </c>
      <c r="O33" s="215">
        <v>38.97</v>
      </c>
      <c r="P33" s="215">
        <v>38.97</v>
      </c>
      <c r="Q33" s="215">
        <v>38.97</v>
      </c>
      <c r="R33" s="215">
        <v>38.97</v>
      </c>
      <c r="S33" s="215"/>
      <c r="T33" s="215"/>
      <c r="U33" s="215"/>
      <c r="V33" s="215"/>
      <c r="W33" s="215"/>
      <c r="X33" s="215"/>
      <c r="Y33" s="215"/>
      <c r="AE33" s="215"/>
    </row>
    <row r="34" spans="1:31" s="4" customFormat="1" ht="52.8">
      <c r="A34" s="128" t="str">
        <f ca="1">OFFSET(PO!J$12,ROW(A34)-ROW($A$12),0)</f>
        <v>Serviço</v>
      </c>
      <c r="B34" s="130" t="str">
        <f ca="1">IF($A34=0,"",OFFSET(PO!K$12,ROW(B34)-ROW(B$12),0))</f>
        <v>1.3.5.</v>
      </c>
      <c r="C34" s="127" t="str">
        <f ca="1">IF(OFFSET(PO!N$12,ROW(C34)-ROW(C$12),0)=0,"",OFFSET(PO!N$12,ROW(C34)-ROW(C$12),0))</f>
        <v>CHAPISCO APLICADO EM ALVENARIA (SEM PRESENÇA DE VÃOS) E ESTRUTURAS DE CONCRETO DE FACHADA, COM COLHER DE PEDREIRO.  ARGAMASSA TRAÇO 1:3 COM PREPARO EM BETONEIRA 400L. AF_10/2022</v>
      </c>
      <c r="D34" s="129" t="str">
        <f ca="1">IF(OFFSET(PO!O$12,ROW(D34)-ROW(D$12),0)=0,"",OFFSET(PO!O$12,ROW(D34)-ROW(D$12),0))</f>
        <v>M2</v>
      </c>
      <c r="E34" s="165">
        <f ca="1">IF($A34&lt;&gt;"Serviço",0,ROUND(SUMIF($F$9:$Z$9,"&lt;&gt;",$F34:$Z34),15-13*PO!$X$3))</f>
        <v>253.37</v>
      </c>
      <c r="F34" s="215">
        <v>19.49</v>
      </c>
      <c r="G34" s="215">
        <v>19.49</v>
      </c>
      <c r="H34" s="215">
        <v>19.49</v>
      </c>
      <c r="I34" s="215">
        <v>19.49</v>
      </c>
      <c r="J34" s="215">
        <v>19.49</v>
      </c>
      <c r="K34" s="215">
        <v>19.49</v>
      </c>
      <c r="L34" s="215">
        <v>19.49</v>
      </c>
      <c r="M34" s="215">
        <v>19.49</v>
      </c>
      <c r="N34" s="215">
        <v>19.49</v>
      </c>
      <c r="O34" s="215">
        <v>19.49</v>
      </c>
      <c r="P34" s="215">
        <v>19.49</v>
      </c>
      <c r="Q34" s="215">
        <v>19.49</v>
      </c>
      <c r="R34" s="215">
        <v>19.49</v>
      </c>
      <c r="S34" s="215"/>
      <c r="T34" s="215"/>
      <c r="U34" s="215"/>
      <c r="V34" s="215"/>
      <c r="W34" s="215"/>
      <c r="X34" s="215"/>
      <c r="Y34" s="215"/>
      <c r="AE34" s="215"/>
    </row>
    <row r="35" spans="1:31" s="4" customFormat="1" ht="52.8">
      <c r="A35" s="128" t="str">
        <f ca="1">OFFSET(PO!J$12,ROW(A35)-ROW($A$12),0)</f>
        <v>Serviço</v>
      </c>
      <c r="B35" s="130" t="str">
        <f ca="1">IF($A35=0,"",OFFSET(PO!K$12,ROW(B35)-ROW(B$12),0))</f>
        <v>1.3.6.</v>
      </c>
      <c r="C35" s="127" t="str">
        <f ca="1">IF(OFFSET(PO!N$12,ROW(C35)-ROW(C$12),0)=0,"",OFFSET(PO!N$12,ROW(C35)-ROW(C$12),0))</f>
        <v>EMBOÇO OU MASSA ÚNICA EM ARGAMASSA TRAÇO 1:2:8, PREPARO MECÂNICO COM BETONEIRA 400 L, APLICADA MANUALMENTE EM PANOS CEGOS DE FACHADA (SEM PRESENÇA DE VÃOS), ESPESSURA DE 25 MM. AF_08/2022</v>
      </c>
      <c r="D35" s="129" t="str">
        <f ca="1">IF(OFFSET(PO!O$12,ROW(D35)-ROW(D$12),0)=0,"",OFFSET(PO!O$12,ROW(D35)-ROW(D$12),0))</f>
        <v>M2</v>
      </c>
      <c r="E35" s="165">
        <f ca="1">IF($A35&lt;&gt;"Serviço",0,ROUND(SUMIF($F$9:$Z$9,"&lt;&gt;",$F35:$Z35),15-13*PO!$X$3))</f>
        <v>253.37</v>
      </c>
      <c r="F35" s="215">
        <v>19.49</v>
      </c>
      <c r="G35" s="215">
        <v>19.49</v>
      </c>
      <c r="H35" s="215">
        <v>19.49</v>
      </c>
      <c r="I35" s="215">
        <v>19.49</v>
      </c>
      <c r="J35" s="215">
        <v>19.49</v>
      </c>
      <c r="K35" s="215">
        <v>19.49</v>
      </c>
      <c r="L35" s="215">
        <v>19.49</v>
      </c>
      <c r="M35" s="215">
        <v>19.49</v>
      </c>
      <c r="N35" s="215">
        <v>19.49</v>
      </c>
      <c r="O35" s="215">
        <v>19.49</v>
      </c>
      <c r="P35" s="215">
        <v>19.49</v>
      </c>
      <c r="Q35" s="215">
        <v>19.49</v>
      </c>
      <c r="R35" s="215">
        <v>19.49</v>
      </c>
      <c r="S35" s="215"/>
      <c r="T35" s="215"/>
      <c r="U35" s="215"/>
      <c r="V35" s="215"/>
      <c r="W35" s="215"/>
      <c r="X35" s="215"/>
      <c r="Y35" s="215"/>
      <c r="AE35" s="215"/>
    </row>
    <row r="36" spans="1:31" s="4" customFormat="1" ht="12.75">
      <c r="A36" s="128" t="str">
        <f ca="1">OFFSET(PO!J$12,ROW(A36)-ROW($A$12),0)</f>
        <v>Nível 2</v>
      </c>
      <c r="B36" s="130" t="str">
        <f ca="1">IF($A36=0,"",OFFSET(PO!K$12,ROW(B36)-ROW(B$12),0))</f>
        <v>1.4.</v>
      </c>
      <c r="C36" s="127" t="str">
        <f ca="1">IF(OFFSET(PO!N$12,ROW(C36)-ROW(C$12),0)=0,"",OFFSET(PO!N$12,ROW(C36)-ROW(C$12),0))</f>
        <v>Viga Baldrame 20x30cm</v>
      </c>
      <c r="D36" s="129" t="str">
        <f ca="1">IF(OFFSET(PO!O$12,ROW(D36)-ROW(D$12),0)=0,"",OFFSET(PO!O$12,ROW(D36)-ROW(D$12),0))</f>
        <v/>
      </c>
      <c r="E36" s="165">
        <f ca="1">IF($A36&lt;&gt;"Serviço",0,ROUND(SUMIF($F$9:$Z$9,"&lt;&gt;",$F36:$Z36),15-13*PO!$X$3))</f>
        <v>0</v>
      </c>
      <c r="F36" s="215">
        <v>0</v>
      </c>
      <c r="G36" s="215"/>
      <c r="H36" s="215"/>
      <c r="I36" s="215"/>
      <c r="J36" s="215"/>
      <c r="K36" s="215"/>
      <c r="L36" s="215"/>
      <c r="M36" s="215"/>
      <c r="N36" s="215"/>
      <c r="O36" s="215"/>
      <c r="P36" s="215"/>
      <c r="Q36" s="215"/>
      <c r="R36" s="215"/>
      <c r="S36" s="215"/>
      <c r="T36" s="215"/>
      <c r="U36" s="215"/>
      <c r="V36" s="215"/>
      <c r="W36" s="215"/>
      <c r="X36" s="215"/>
      <c r="Y36" s="215"/>
      <c r="AE36" s="215"/>
    </row>
    <row r="37" spans="1:31" s="4" customFormat="1" ht="39.6">
      <c r="A37" s="128" t="str">
        <f ca="1">OFFSET(PO!J$12,ROW(A37)-ROW($A$12),0)</f>
        <v>Serviço</v>
      </c>
      <c r="B37" s="130" t="str">
        <f ca="1">IF($A37=0,"",OFFSET(PO!K$12,ROW(B37)-ROW(B$12),0))</f>
        <v>1.4.1.</v>
      </c>
      <c r="C37" s="127" t="str">
        <f ca="1">IF(OFFSET(PO!N$12,ROW(C37)-ROW(C$12),0)=0,"",OFFSET(PO!N$12,ROW(C37)-ROW(C$12),0))</f>
        <v>FABRICAÇÃO, MONTAGEM E DESMONTAGEM DE FÔRMA PARA VIGA BALDRAME, EM MADEIRA SERRADA, E=25 MM, 4 UTILIZAÇÕES. AF_06/2017</v>
      </c>
      <c r="D37" s="129" t="str">
        <f ca="1">IF(OFFSET(PO!O$12,ROW(D37)-ROW(D$12),0)=0,"",OFFSET(PO!O$12,ROW(D37)-ROW(D$12),0))</f>
        <v>M2</v>
      </c>
      <c r="E37" s="165">
        <f ca="1">IF($A37&lt;&gt;"Serviço",0,ROUND(SUMIF($F$9:$Z$9,"&lt;&gt;",$F37:$Z37),15-13*PO!$X$3))</f>
        <v>506.61</v>
      </c>
      <c r="F37" s="215">
        <v>38.97</v>
      </c>
      <c r="G37" s="215">
        <v>38.97</v>
      </c>
      <c r="H37" s="215">
        <v>38.97</v>
      </c>
      <c r="I37" s="215">
        <v>38.97</v>
      </c>
      <c r="J37" s="215">
        <v>38.97</v>
      </c>
      <c r="K37" s="215">
        <v>38.97</v>
      </c>
      <c r="L37" s="215">
        <v>38.97</v>
      </c>
      <c r="M37" s="215">
        <v>38.97</v>
      </c>
      <c r="N37" s="215">
        <v>38.97</v>
      </c>
      <c r="O37" s="215">
        <v>38.97</v>
      </c>
      <c r="P37" s="215">
        <v>38.97</v>
      </c>
      <c r="Q37" s="215">
        <v>38.97</v>
      </c>
      <c r="R37" s="215">
        <v>38.97</v>
      </c>
      <c r="S37" s="215"/>
      <c r="T37" s="215"/>
      <c r="U37" s="215"/>
      <c r="V37" s="215"/>
      <c r="W37" s="215"/>
      <c r="X37" s="215"/>
      <c r="Y37" s="215"/>
      <c r="AE37" s="215"/>
    </row>
    <row r="38" spans="1:31" s="4" customFormat="1" ht="39.6">
      <c r="A38" s="128" t="str">
        <f ca="1">OFFSET(PO!J$12,ROW(A38)-ROW($A$12),0)</f>
        <v>Serviço</v>
      </c>
      <c r="B38" s="130" t="str">
        <f ca="1">IF($A38=0,"",OFFSET(PO!K$12,ROW(B38)-ROW(B$12),0))</f>
        <v>1.4.2.</v>
      </c>
      <c r="C38" s="127" t="str">
        <f ca="1">IF(OFFSET(PO!N$12,ROW(C38)-ROW(C$12),0)=0,"",OFFSET(PO!N$12,ROW(C38)-ROW(C$12),0))</f>
        <v>ARMAÇÃO DE PILAR OU VIGA DE ESTRUTURA CONVENCIONAL DE CONCRETO ARMADO UTILIZANDO AÇO CA-50 DE 10,0 MM - MONTAGEM. AF_06/2022</v>
      </c>
      <c r="D38" s="129" t="str">
        <f ca="1">IF(OFFSET(PO!O$12,ROW(D38)-ROW(D$12),0)=0,"",OFFSET(PO!O$12,ROW(D38)-ROW(D$12),0))</f>
        <v>KG</v>
      </c>
      <c r="E38" s="165">
        <f ca="1">IF($A38&lt;&gt;"Serviço",0,ROUND(SUMIF($F$9:$Z$9,"&lt;&gt;",$F38:$Z38),15-13*PO!$X$3))</f>
        <v>2082.73</v>
      </c>
      <c r="F38" s="215">
        <v>160.21</v>
      </c>
      <c r="G38" s="215">
        <v>160.21</v>
      </c>
      <c r="H38" s="215">
        <v>160.21</v>
      </c>
      <c r="I38" s="215">
        <v>160.21</v>
      </c>
      <c r="J38" s="215">
        <v>160.21</v>
      </c>
      <c r="K38" s="215">
        <v>160.21</v>
      </c>
      <c r="L38" s="215">
        <v>160.21</v>
      </c>
      <c r="M38" s="215">
        <v>160.21</v>
      </c>
      <c r="N38" s="215">
        <v>160.21</v>
      </c>
      <c r="O38" s="215">
        <v>160.21</v>
      </c>
      <c r="P38" s="215">
        <v>160.21</v>
      </c>
      <c r="Q38" s="215">
        <v>160.21</v>
      </c>
      <c r="R38" s="215">
        <v>160.21</v>
      </c>
      <c r="S38" s="215"/>
      <c r="T38" s="215"/>
      <c r="U38" s="215"/>
      <c r="V38" s="215"/>
      <c r="W38" s="215"/>
      <c r="X38" s="215"/>
      <c r="Y38" s="215"/>
      <c r="AE38" s="215"/>
    </row>
    <row r="39" spans="1:31" s="4" customFormat="1" ht="39.6">
      <c r="A39" s="128" t="str">
        <f ca="1">OFFSET(PO!J$12,ROW(A39)-ROW($A$12),0)</f>
        <v>Serviço</v>
      </c>
      <c r="B39" s="130" t="str">
        <f ca="1">IF($A39=0,"",OFFSET(PO!K$12,ROW(B39)-ROW(B$12),0))</f>
        <v>1.4.3.</v>
      </c>
      <c r="C39" s="127" t="str">
        <f ca="1">IF(OFFSET(PO!N$12,ROW(C39)-ROW(C$12),0)=0,"",OFFSET(PO!N$12,ROW(C39)-ROW(C$12),0))</f>
        <v>ARMAÇÃO DE PILAR OU VIGA DE ESTRUTURA CONVENCIONAL DE CONCRETO ARMADO UTILIZANDO AÇO CA-60 DE 5,0 MM - MONTAGEM. AF_06/2022</v>
      </c>
      <c r="D39" s="129" t="str">
        <f ca="1">IF(OFFSET(PO!O$12,ROW(D39)-ROW(D$12),0)=0,"",OFFSET(PO!O$12,ROW(D39)-ROW(D$12),0))</f>
        <v>KG</v>
      </c>
      <c r="E39" s="165">
        <f ca="1">IF($A39&lt;&gt;"Serviço",0,ROUND(SUMIF($F$9:$Z$9,"&lt;&gt;",$F39:$Z39),15-13*PO!$X$3))</f>
        <v>449.67</v>
      </c>
      <c r="F39" s="215">
        <v>34.59</v>
      </c>
      <c r="G39" s="215">
        <v>34.59</v>
      </c>
      <c r="H39" s="215">
        <v>34.59</v>
      </c>
      <c r="I39" s="215">
        <v>34.59</v>
      </c>
      <c r="J39" s="215">
        <v>34.59</v>
      </c>
      <c r="K39" s="215">
        <v>34.59</v>
      </c>
      <c r="L39" s="215">
        <v>34.59</v>
      </c>
      <c r="M39" s="215">
        <v>34.59</v>
      </c>
      <c r="N39" s="215">
        <v>34.59</v>
      </c>
      <c r="O39" s="215">
        <v>34.59</v>
      </c>
      <c r="P39" s="215">
        <v>34.59</v>
      </c>
      <c r="Q39" s="215">
        <v>34.59</v>
      </c>
      <c r="R39" s="215">
        <v>34.59</v>
      </c>
      <c r="S39" s="215"/>
      <c r="T39" s="215"/>
      <c r="U39" s="215"/>
      <c r="V39" s="215"/>
      <c r="W39" s="215"/>
      <c r="X39" s="215"/>
      <c r="Y39" s="215"/>
      <c r="AE39" s="215"/>
    </row>
    <row r="40" spans="1:31" s="4" customFormat="1" ht="39.6">
      <c r="A40" s="128" t="str">
        <f ca="1">OFFSET(PO!J$12,ROW(A40)-ROW($A$12),0)</f>
        <v>Serviço</v>
      </c>
      <c r="B40" s="130" t="str">
        <f ca="1">IF($A40=0,"",OFFSET(PO!K$12,ROW(B40)-ROW(B$12),0))</f>
        <v>1.4.4.</v>
      </c>
      <c r="C40" s="127" t="str">
        <f ca="1">IF(OFFSET(PO!N$12,ROW(C40)-ROW(C$12),0)=0,"",OFFSET(PO!N$12,ROW(C40)-ROW(C$12),0))</f>
        <v>CONCRETAGEM DE BLOCOS DE COROAMENTO E VIGAS BALDRAMES, FCK 30 MPA, COM USO DE BOMBA  LANÇAMENTO, ADENSAMENTO E ACABAMENTO. AF_06/2017</v>
      </c>
      <c r="D40" s="129" t="str">
        <f ca="1">IF(OFFSET(PO!O$12,ROW(D40)-ROW(D$12),0)=0,"",OFFSET(PO!O$12,ROW(D40)-ROW(D$12),0))</f>
        <v>M3</v>
      </c>
      <c r="E40" s="165">
        <f ca="1">IF($A40&lt;&gt;"Serviço",0,ROUND(SUMIF($F$9:$Z$9,"&lt;&gt;",$F40:$Z40),15-13*PO!$X$3))</f>
        <v>50.7</v>
      </c>
      <c r="F40" s="215">
        <v>3.9</v>
      </c>
      <c r="G40" s="215">
        <v>3.9</v>
      </c>
      <c r="H40" s="215">
        <v>3.9</v>
      </c>
      <c r="I40" s="215">
        <v>3.9</v>
      </c>
      <c r="J40" s="215">
        <v>3.9</v>
      </c>
      <c r="K40" s="215">
        <v>3.9</v>
      </c>
      <c r="L40" s="215">
        <v>3.9</v>
      </c>
      <c r="M40" s="215">
        <v>3.9</v>
      </c>
      <c r="N40" s="215">
        <v>3.9</v>
      </c>
      <c r="O40" s="215">
        <v>3.9</v>
      </c>
      <c r="P40" s="215">
        <v>3.9</v>
      </c>
      <c r="Q40" s="215">
        <v>3.9</v>
      </c>
      <c r="R40" s="215">
        <v>3.9</v>
      </c>
      <c r="S40" s="215"/>
      <c r="T40" s="215"/>
      <c r="U40" s="215"/>
      <c r="V40" s="215"/>
      <c r="W40" s="215"/>
      <c r="X40" s="215"/>
      <c r="Y40" s="215"/>
      <c r="AE40" s="215"/>
    </row>
    <row r="41" spans="1:31" s="4" customFormat="1" ht="26.4">
      <c r="A41" s="128" t="str">
        <f ca="1">OFFSET(PO!J$12,ROW(A41)-ROW($A$12),0)</f>
        <v>Serviço</v>
      </c>
      <c r="B41" s="130" t="str">
        <f ca="1">IF($A41=0,"",OFFSET(PO!K$12,ROW(B41)-ROW(B$12),0))</f>
        <v>1.4.5.</v>
      </c>
      <c r="C41" s="127" t="str">
        <f ca="1">IF(OFFSET(PO!N$12,ROW(C41)-ROW(C$12),0)=0,"",OFFSET(PO!N$12,ROW(C41)-ROW(C$12),0))</f>
        <v>IMPERMEABILIZAÇÃO DE SUPERFÍCIE COM EMULSÃO ASFÁLTICA, 2 DEMÃOS AF_06/2018</v>
      </c>
      <c r="D41" s="129" t="str">
        <f ca="1">IF(OFFSET(PO!O$12,ROW(D41)-ROW(D$12),0)=0,"",OFFSET(PO!O$12,ROW(D41)-ROW(D$12),0))</f>
        <v>M2</v>
      </c>
      <c r="E41" s="165">
        <f ca="1">IF($A41&lt;&gt;"Serviço",0,ROUND(SUMIF($F$9:$Z$9,"&lt;&gt;",$F41:$Z41),15-13*PO!$X$3))</f>
        <v>633.1</v>
      </c>
      <c r="F41" s="215">
        <v>48.7</v>
      </c>
      <c r="G41" s="215">
        <v>48.7</v>
      </c>
      <c r="H41" s="215">
        <v>48.7</v>
      </c>
      <c r="I41" s="215">
        <v>48.7</v>
      </c>
      <c r="J41" s="215">
        <v>48.7</v>
      </c>
      <c r="K41" s="215">
        <v>48.7</v>
      </c>
      <c r="L41" s="215">
        <v>48.7</v>
      </c>
      <c r="M41" s="215">
        <v>48.7</v>
      </c>
      <c r="N41" s="215">
        <v>48.7</v>
      </c>
      <c r="O41" s="215">
        <v>48.7</v>
      </c>
      <c r="P41" s="215">
        <v>48.7</v>
      </c>
      <c r="Q41" s="215">
        <v>48.7</v>
      </c>
      <c r="R41" s="215">
        <v>48.7</v>
      </c>
      <c r="S41" s="215"/>
      <c r="T41" s="215"/>
      <c r="U41" s="215"/>
      <c r="V41" s="215"/>
      <c r="W41" s="215"/>
      <c r="X41" s="215"/>
      <c r="Y41" s="215"/>
      <c r="AE41" s="215"/>
    </row>
    <row r="42" spans="1:31" s="4" customFormat="1" ht="12.75">
      <c r="A42" s="128" t="str">
        <f ca="1">OFFSET(PO!J$12,ROW(A42)-ROW($A$12),0)</f>
        <v>Nível 2</v>
      </c>
      <c r="B42" s="130" t="str">
        <f ca="1">IF($A42=0,"",OFFSET(PO!K$12,ROW(B42)-ROW(B$12),0))</f>
        <v>1.5.</v>
      </c>
      <c r="C42" s="127" t="str">
        <f ca="1">IF(OFFSET(PO!N$12,ROW(C42)-ROW(C$12),0)=0,"",OFFSET(PO!N$12,ROW(C42)-ROW(C$12),0))</f>
        <v>Superestrutura - Pilares</v>
      </c>
      <c r="D42" s="129" t="str">
        <f ca="1">IF(OFFSET(PO!O$12,ROW(D42)-ROW(D$12),0)=0,"",OFFSET(PO!O$12,ROW(D42)-ROW(D$12),0))</f>
        <v/>
      </c>
      <c r="E42" s="165">
        <f ca="1">IF($A42&lt;&gt;"Serviço",0,ROUND(SUMIF($F$9:$Z$9,"&lt;&gt;",$F42:$Z42),15-13*PO!$X$3))</f>
        <v>0</v>
      </c>
      <c r="F42" s="215"/>
      <c r="G42" s="215"/>
      <c r="H42" s="215"/>
      <c r="I42" s="215"/>
      <c r="J42" s="215"/>
      <c r="K42" s="215"/>
      <c r="L42" s="215"/>
      <c r="M42" s="215"/>
      <c r="N42" s="215"/>
      <c r="O42" s="215"/>
      <c r="P42" s="215"/>
      <c r="Q42" s="215"/>
      <c r="R42" s="215"/>
      <c r="S42" s="215"/>
      <c r="T42" s="215"/>
      <c r="U42" s="215"/>
      <c r="V42" s="215"/>
      <c r="W42" s="215"/>
      <c r="X42" s="215"/>
      <c r="Y42" s="215"/>
      <c r="AE42" s="215"/>
    </row>
    <row r="43" spans="1:31" s="4" customFormat="1" ht="39.6">
      <c r="A43" s="128" t="str">
        <f ca="1">OFFSET(PO!J$12,ROW(A43)-ROW($A$12),0)</f>
        <v>Serviço</v>
      </c>
      <c r="B43" s="130" t="str">
        <f ca="1">IF($A43=0,"",OFFSET(PO!K$12,ROW(B43)-ROW(B$12),0))</f>
        <v>1.5.1.</v>
      </c>
      <c r="C43" s="127" t="str">
        <f ca="1">IF(OFFSET(PO!N$12,ROW(C43)-ROW(C$12),0)=0,"",OFFSET(PO!N$12,ROW(C43)-ROW(C$12),0))</f>
        <v>MONTAGEM E DESMONTAGEM DE FÔRMA DE PILARES RETANGULARES E ESTRUTURAS SIMILARES, PÉ-DIREITO SIMPLES, EM MADEIRA SERRADA, 4 UTILIZAÇÕES. AF_09/2020</v>
      </c>
      <c r="D43" s="129" t="str">
        <f ca="1">IF(OFFSET(PO!O$12,ROW(D43)-ROW(D$12),0)=0,"",OFFSET(PO!O$12,ROW(D43)-ROW(D$12),0))</f>
        <v>M2</v>
      </c>
      <c r="E43" s="165">
        <f ca="1">IF($A43&lt;&gt;"Serviço",0,ROUND(SUMIF($F$9:$Z$9,"&lt;&gt;",$F43:$Z43),15-13*PO!$X$3))</f>
        <v>243.75</v>
      </c>
      <c r="F43" s="215">
        <v>18.75</v>
      </c>
      <c r="G43" s="215">
        <v>18.75</v>
      </c>
      <c r="H43" s="215">
        <v>18.75</v>
      </c>
      <c r="I43" s="215">
        <v>18.75</v>
      </c>
      <c r="J43" s="215">
        <v>18.75</v>
      </c>
      <c r="K43" s="215">
        <v>18.75</v>
      </c>
      <c r="L43" s="215">
        <v>18.75</v>
      </c>
      <c r="M43" s="215">
        <v>18.75</v>
      </c>
      <c r="N43" s="215">
        <v>18.75</v>
      </c>
      <c r="O43" s="215">
        <v>18.75</v>
      </c>
      <c r="P43" s="215">
        <v>18.75</v>
      </c>
      <c r="Q43" s="215">
        <v>18.75</v>
      </c>
      <c r="R43" s="215">
        <v>18.75</v>
      </c>
      <c r="S43" s="215"/>
      <c r="T43" s="215"/>
      <c r="U43" s="215"/>
      <c r="V43" s="215"/>
      <c r="W43" s="215"/>
      <c r="X43" s="215"/>
      <c r="Y43" s="215"/>
      <c r="AE43" s="215"/>
    </row>
    <row r="44" spans="1:31" s="4" customFormat="1" ht="39.6">
      <c r="A44" s="128" t="str">
        <f ca="1">OFFSET(PO!J$12,ROW(A44)-ROW($A$12),0)</f>
        <v>Serviço</v>
      </c>
      <c r="B44" s="130" t="str">
        <f ca="1">IF($A44=0,"",OFFSET(PO!K$12,ROW(B44)-ROW(B$12),0))</f>
        <v>1.5.2.</v>
      </c>
      <c r="C44" s="127" t="str">
        <f ca="1">IF(OFFSET(PO!N$12,ROW(C44)-ROW(C$12),0)=0,"",OFFSET(PO!N$12,ROW(C44)-ROW(C$12),0))</f>
        <v>ARMAÇÃO DE PILAR OU VIGA DE ESTRUTURA CONVENCIONAL DE CONCRETO ARMADO UTILIZANDO AÇO CA-50 DE 10,0 MM - MONTAGEM. AF_06/2022</v>
      </c>
      <c r="D44" s="129" t="str">
        <f ca="1">IF(OFFSET(PO!O$12,ROW(D44)-ROW(D$12),0)=0,"",OFFSET(PO!O$12,ROW(D44)-ROW(D$12),0))</f>
        <v>KG</v>
      </c>
      <c r="E44" s="165">
        <f ca="1">IF($A44&lt;&gt;"Serviço",0,ROUND(SUMIF($F$9:$Z$9,"&lt;&gt;",$F44:$Z44),15-13*PO!$X$3))</f>
        <v>962</v>
      </c>
      <c r="F44" s="215">
        <v>74</v>
      </c>
      <c r="G44" s="215">
        <v>74</v>
      </c>
      <c r="H44" s="215">
        <v>74</v>
      </c>
      <c r="I44" s="215">
        <v>74</v>
      </c>
      <c r="J44" s="215">
        <v>74</v>
      </c>
      <c r="K44" s="215">
        <v>74</v>
      </c>
      <c r="L44" s="215">
        <v>74</v>
      </c>
      <c r="M44" s="215">
        <v>74</v>
      </c>
      <c r="N44" s="215">
        <v>74</v>
      </c>
      <c r="O44" s="215">
        <v>74</v>
      </c>
      <c r="P44" s="215">
        <v>74</v>
      </c>
      <c r="Q44" s="215">
        <v>74</v>
      </c>
      <c r="R44" s="215">
        <v>74</v>
      </c>
      <c r="S44" s="215"/>
      <c r="T44" s="215"/>
      <c r="U44" s="215"/>
      <c r="V44" s="215"/>
      <c r="W44" s="215"/>
      <c r="X44" s="215"/>
      <c r="Y44" s="215"/>
      <c r="AE44" s="215"/>
    </row>
    <row r="45" spans="1:31" s="4" customFormat="1" ht="39.6">
      <c r="A45" s="128" t="str">
        <f ca="1">OFFSET(PO!J$12,ROW(A45)-ROW($A$12),0)</f>
        <v>Serviço</v>
      </c>
      <c r="B45" s="130" t="str">
        <f ca="1">IF($A45=0,"",OFFSET(PO!K$12,ROW(B45)-ROW(B$12),0))</f>
        <v>1.5.3.</v>
      </c>
      <c r="C45" s="127" t="str">
        <f ca="1">IF(OFFSET(PO!N$12,ROW(C45)-ROW(C$12),0)=0,"",OFFSET(PO!N$12,ROW(C45)-ROW(C$12),0))</f>
        <v>ARMAÇÃO DE PILAR OU VIGA DE ESTRUTURA CONVENCIONAL DE CONCRETO ARMADO UTILIZANDO AÇO CA-60 DE 5,0 MM - MONTAGEM. AF_06/2022</v>
      </c>
      <c r="D45" s="129" t="str">
        <f ca="1">IF(OFFSET(PO!O$12,ROW(D45)-ROW(D$12),0)=0,"",OFFSET(PO!O$12,ROW(D45)-ROW(D$12),0))</f>
        <v>KG</v>
      </c>
      <c r="E45" s="165">
        <f ca="1">IF($A45&lt;&gt;"Serviço",0,ROUND(SUMIF($F$9:$Z$9,"&lt;&gt;",$F45:$Z45),15-13*PO!$X$3))</f>
        <v>371.54</v>
      </c>
      <c r="F45" s="215">
        <v>28.58</v>
      </c>
      <c r="G45" s="215">
        <v>28.58</v>
      </c>
      <c r="H45" s="215">
        <v>28.58</v>
      </c>
      <c r="I45" s="215">
        <v>28.58</v>
      </c>
      <c r="J45" s="215">
        <v>28.58</v>
      </c>
      <c r="K45" s="215">
        <v>28.58</v>
      </c>
      <c r="L45" s="215">
        <v>28.58</v>
      </c>
      <c r="M45" s="215">
        <v>28.58</v>
      </c>
      <c r="N45" s="215">
        <v>28.58</v>
      </c>
      <c r="O45" s="215">
        <v>28.58</v>
      </c>
      <c r="P45" s="215">
        <v>28.58</v>
      </c>
      <c r="Q45" s="215">
        <v>28.58</v>
      </c>
      <c r="R45" s="215">
        <v>28.58</v>
      </c>
      <c r="S45" s="215"/>
      <c r="T45" s="215"/>
      <c r="U45" s="215"/>
      <c r="V45" s="215"/>
      <c r="W45" s="215"/>
      <c r="X45" s="215"/>
      <c r="Y45" s="215"/>
      <c r="AE45" s="215"/>
    </row>
    <row r="46" spans="1:31" s="4" customFormat="1" ht="39.6">
      <c r="A46" s="128" t="str">
        <f ca="1">OFFSET(PO!J$12,ROW(A46)-ROW($A$12),0)</f>
        <v>Serviço</v>
      </c>
      <c r="B46" s="130" t="str">
        <f ca="1">IF($A46=0,"",OFFSET(PO!K$12,ROW(B46)-ROW(B$12),0))</f>
        <v>1.5.4.</v>
      </c>
      <c r="C46" s="127" t="str">
        <f ca="1">IF(OFFSET(PO!N$12,ROW(C46)-ROW(C$12),0)=0,"",OFFSET(PO!N$12,ROW(C46)-ROW(C$12),0))</f>
        <v>CONCRETAGEM DE PILARES, FCK = 25 MPA, COM USO DE BOMBA - LANÇAMENTO, ADENSAMENTO E ACABAMENTO. AF_02/2022_PS</v>
      </c>
      <c r="D46" s="129" t="str">
        <f ca="1">IF(OFFSET(PO!O$12,ROW(D46)-ROW(D$12),0)=0,"",OFFSET(PO!O$12,ROW(D46)-ROW(D$12),0))</f>
        <v>M3</v>
      </c>
      <c r="E46" s="165">
        <f ca="1">IF($A46&lt;&gt;"Serviço",0,ROUND(SUMIF($F$9:$Z$9,"&lt;&gt;",$F46:$Z46),15-13*PO!$X$3))</f>
        <v>18.46</v>
      </c>
      <c r="F46" s="215">
        <v>1.42</v>
      </c>
      <c r="G46" s="215">
        <v>1.42</v>
      </c>
      <c r="H46" s="215">
        <v>1.42</v>
      </c>
      <c r="I46" s="215">
        <v>1.42</v>
      </c>
      <c r="J46" s="215">
        <v>1.42</v>
      </c>
      <c r="K46" s="215">
        <v>1.42</v>
      </c>
      <c r="L46" s="215">
        <v>1.42</v>
      </c>
      <c r="M46" s="215">
        <v>1.42</v>
      </c>
      <c r="N46" s="215">
        <v>1.42</v>
      </c>
      <c r="O46" s="215">
        <v>1.42</v>
      </c>
      <c r="P46" s="215">
        <v>1.42</v>
      </c>
      <c r="Q46" s="215">
        <v>1.42</v>
      </c>
      <c r="R46" s="215">
        <v>1.42</v>
      </c>
      <c r="S46" s="215"/>
      <c r="T46" s="215"/>
      <c r="U46" s="215"/>
      <c r="V46" s="215"/>
      <c r="W46" s="215"/>
      <c r="X46" s="215"/>
      <c r="Y46" s="215"/>
      <c r="AE46" s="215"/>
    </row>
    <row r="47" spans="1:31" s="4" customFormat="1" ht="12.75">
      <c r="A47" s="128" t="str">
        <f ca="1">OFFSET(PO!J$12,ROW(A47)-ROW($A$12),0)</f>
        <v>Nível 2</v>
      </c>
      <c r="B47" s="130" t="str">
        <f ca="1">IF($A47=0,"",OFFSET(PO!K$12,ROW(B47)-ROW(B$12),0))</f>
        <v>1.6.</v>
      </c>
      <c r="C47" s="127" t="str">
        <f ca="1">IF(OFFSET(PO!N$12,ROW(C47)-ROW(C$12),0)=0,"",OFFSET(PO!N$12,ROW(C47)-ROW(C$12),0))</f>
        <v>Superestrutura - Alvenaria de Fechamento</v>
      </c>
      <c r="D47" s="129" t="str">
        <f ca="1">IF(OFFSET(PO!O$12,ROW(D47)-ROW(D$12),0)=0,"",OFFSET(PO!O$12,ROW(D47)-ROW(D$12),0))</f>
        <v/>
      </c>
      <c r="E47" s="165">
        <f ca="1">IF($A47&lt;&gt;"Serviço",0,ROUND(SUMIF($F$9:$Z$9,"&lt;&gt;",$F47:$Z47),15-13*PO!$X$3))</f>
        <v>0</v>
      </c>
      <c r="F47" s="215"/>
      <c r="G47" s="215"/>
      <c r="H47" s="215"/>
      <c r="I47" s="215"/>
      <c r="J47" s="215"/>
      <c r="K47" s="215"/>
      <c r="L47" s="215"/>
      <c r="M47" s="215"/>
      <c r="N47" s="215"/>
      <c r="O47" s="215"/>
      <c r="P47" s="215"/>
      <c r="Q47" s="215"/>
      <c r="R47" s="215"/>
      <c r="S47" s="215"/>
      <c r="T47" s="215"/>
      <c r="U47" s="215"/>
      <c r="V47" s="215"/>
      <c r="W47" s="215"/>
      <c r="X47" s="215"/>
      <c r="Y47" s="215"/>
      <c r="AE47" s="215"/>
    </row>
    <row r="48" spans="1:31" s="4" customFormat="1" ht="26.4">
      <c r="A48" s="128" t="str">
        <f ca="1">OFFSET(PO!J$12,ROW(A48)-ROW($A$12),0)</f>
        <v>Serviço</v>
      </c>
      <c r="B48" s="130" t="str">
        <f ca="1">IF($A48=0,"",OFFSET(PO!K$12,ROW(B48)-ROW(B$12),0))</f>
        <v>1.6.1.</v>
      </c>
      <c r="C48" s="127" t="str">
        <f ca="1">IF(OFFSET(PO!N$12,ROW(C48)-ROW(C$12),0)=0,"",OFFSET(PO!N$12,ROW(C48)-ROW(C$12),0))</f>
        <v>Alvenaria de tijolos maciços 5x10x20cm (meia vez, para fechamento), assentados com argamassa traço 1:2:8 (cimento, cal e areia)</v>
      </c>
      <c r="D48" s="129" t="str">
        <f ca="1">IF(OFFSET(PO!O$12,ROW(D48)-ROW(D$12),0)=0,"",OFFSET(PO!O$12,ROW(D48)-ROW(D$12),0))</f>
        <v>M²</v>
      </c>
      <c r="E48" s="165">
        <f ca="1">IF($A48&lt;&gt;"Serviço",0,ROUND(SUMIF($F$9:$Z$9,"&lt;&gt;",$F48:$Z48),15-13*PO!$X$3))</f>
        <v>2003.95</v>
      </c>
      <c r="F48" s="215">
        <v>154.15</v>
      </c>
      <c r="G48" s="215">
        <v>154.15</v>
      </c>
      <c r="H48" s="215">
        <v>154.15</v>
      </c>
      <c r="I48" s="215">
        <v>154.15</v>
      </c>
      <c r="J48" s="215">
        <v>154.15</v>
      </c>
      <c r="K48" s="215">
        <v>154.15</v>
      </c>
      <c r="L48" s="215">
        <v>154.15</v>
      </c>
      <c r="M48" s="215">
        <v>154.15</v>
      </c>
      <c r="N48" s="215">
        <v>154.15</v>
      </c>
      <c r="O48" s="215">
        <v>154.15</v>
      </c>
      <c r="P48" s="215">
        <v>154.15</v>
      </c>
      <c r="Q48" s="215">
        <v>154.15</v>
      </c>
      <c r="R48" s="215">
        <v>154.15</v>
      </c>
      <c r="S48" s="215"/>
      <c r="T48" s="215"/>
      <c r="U48" s="215"/>
      <c r="V48" s="215"/>
      <c r="W48" s="215"/>
      <c r="X48" s="215"/>
      <c r="Y48" s="215"/>
      <c r="AE48" s="215"/>
    </row>
    <row r="49" spans="1:31" s="4" customFormat="1" ht="52.8">
      <c r="A49" s="128" t="str">
        <f ca="1">OFFSET(PO!J$12,ROW(A49)-ROW($A$12),0)</f>
        <v>Serviço</v>
      </c>
      <c r="B49" s="130" t="str">
        <f ca="1">IF($A49=0,"",OFFSET(PO!K$12,ROW(B49)-ROW(B$12),0))</f>
        <v>1.6.2.</v>
      </c>
      <c r="C49" s="127" t="str">
        <f ca="1">IF(OFFSET(PO!N$12,ROW(C49)-ROW(C$12),0)=0,"",OFFSET(PO!N$12,ROW(C49)-ROW(C$12),0))</f>
        <v>CHAPISCO APLICADO EM ALVENARIA (COM PRESENÇA DE VÃOS) E ESTRUTURAS DE CONCRETO DE FACHADA, COM COLHER DE PEDREIRO.  ARGAMASSA TRAÇO 1:3 COM PREPARO EM BETONEIRA 400L. AF_10/2022</v>
      </c>
      <c r="D49" s="129" t="str">
        <f ca="1">IF(OFFSET(PO!O$12,ROW(D49)-ROW(D$12),0)=0,"",OFFSET(PO!O$12,ROW(D49)-ROW(D$12),0))</f>
        <v>M2</v>
      </c>
      <c r="E49" s="165">
        <f ca="1">IF($A49&lt;&gt;"Serviço",0,ROUND(SUMIF($F$9:$Z$9,"&lt;&gt;",$F49:$Z49),15-13*PO!$X$3))</f>
        <v>4580.94</v>
      </c>
      <c r="F49" s="215">
        <v>352.38</v>
      </c>
      <c r="G49" s="215">
        <v>352.38</v>
      </c>
      <c r="H49" s="215">
        <v>352.38</v>
      </c>
      <c r="I49" s="215">
        <v>352.38</v>
      </c>
      <c r="J49" s="215">
        <v>352.38</v>
      </c>
      <c r="K49" s="215">
        <v>352.38</v>
      </c>
      <c r="L49" s="215">
        <v>352.38</v>
      </c>
      <c r="M49" s="215">
        <v>352.38</v>
      </c>
      <c r="N49" s="215">
        <v>352.38</v>
      </c>
      <c r="O49" s="215">
        <v>352.38</v>
      </c>
      <c r="P49" s="215">
        <v>352.38</v>
      </c>
      <c r="Q49" s="215">
        <v>352.38</v>
      </c>
      <c r="R49" s="215">
        <v>352.38</v>
      </c>
      <c r="S49" s="215"/>
      <c r="T49" s="215"/>
      <c r="U49" s="215"/>
      <c r="V49" s="215"/>
      <c r="W49" s="215"/>
      <c r="X49" s="215"/>
      <c r="Y49" s="215"/>
      <c r="AE49" s="215"/>
    </row>
    <row r="50" spans="1:31" s="4" customFormat="1" ht="52.8">
      <c r="A50" s="128" t="str">
        <f ca="1">OFFSET(PO!J$12,ROW(A50)-ROW($A$12),0)</f>
        <v>Serviço</v>
      </c>
      <c r="B50" s="130" t="str">
        <f ca="1">IF($A50=0,"",OFFSET(PO!K$12,ROW(B50)-ROW(B$12),0))</f>
        <v>1.6.3.</v>
      </c>
      <c r="C50" s="127" t="str">
        <f ca="1">IF(OFFSET(PO!N$12,ROW(C50)-ROW(C$12),0)=0,"",OFFSET(PO!N$12,ROW(C50)-ROW(C$12),0))</f>
        <v>EMBOÇO OU MASSA ÚNICA EM ARGAMASSA TRAÇO 1:2:8, PREPARO MECÂNICO COM BETONEIRA 400 L, APLICADA MANUALMENTE EM PANOS DE FACHADA COM PRESENÇA DE VÃOS, ESPESSURA DE 25 MM. AF_08/2022</v>
      </c>
      <c r="D50" s="129" t="str">
        <f ca="1">IF(OFFSET(PO!O$12,ROW(D50)-ROW(D$12),0)=0,"",OFFSET(PO!O$12,ROW(D50)-ROW(D$12),0))</f>
        <v>M2</v>
      </c>
      <c r="E50" s="165">
        <f ca="1">IF($A50&lt;&gt;"Serviço",0,ROUND(SUMIF($F$9:$Z$9,"&lt;&gt;",$F50:$Z50),15-13*PO!$X$3))</f>
        <v>3967.86</v>
      </c>
      <c r="F50" s="215">
        <v>305.22</v>
      </c>
      <c r="G50" s="215">
        <v>305.22</v>
      </c>
      <c r="H50" s="215">
        <v>305.22</v>
      </c>
      <c r="I50" s="215">
        <v>305.22</v>
      </c>
      <c r="J50" s="215">
        <v>305.22</v>
      </c>
      <c r="K50" s="215">
        <v>305.22</v>
      </c>
      <c r="L50" s="215">
        <v>305.22</v>
      </c>
      <c r="M50" s="215">
        <v>305.22</v>
      </c>
      <c r="N50" s="215">
        <v>305.22</v>
      </c>
      <c r="O50" s="215">
        <v>305.22</v>
      </c>
      <c r="P50" s="215">
        <v>305.22</v>
      </c>
      <c r="Q50" s="215">
        <v>305.22</v>
      </c>
      <c r="R50" s="215">
        <v>305.22</v>
      </c>
      <c r="S50" s="215"/>
      <c r="T50" s="215"/>
      <c r="U50" s="215"/>
      <c r="V50" s="215"/>
      <c r="W50" s="215"/>
      <c r="X50" s="215"/>
      <c r="Y50" s="215"/>
      <c r="AE50" s="215"/>
    </row>
    <row r="51" spans="1:31" s="4" customFormat="1" ht="66">
      <c r="A51" s="128" t="str">
        <f ca="1">OFFSET(PO!J$12,ROW(A51)-ROW($A$12),0)</f>
        <v>Serviço</v>
      </c>
      <c r="B51" s="130" t="str">
        <f ca="1">IF($A51=0,"",OFFSET(PO!K$12,ROW(B51)-ROW(B$12),0))</f>
        <v>1.6.4.</v>
      </c>
      <c r="C51" s="127" t="str">
        <f ca="1">IF(OFFSET(PO!N$12,ROW(C51)-ROW(C$12),0)=0,"",OFFSET(PO!N$12,ROW(C51)-ROW(C$12),0))</f>
        <v>EMBOÇO, PARA RECEBIMENTO DE CERÂMICA, EM ARGAMASSA TRAÇO 1:2:8, PREPARO MECÂNICO COM BETONEIRA 400L, APLICADO MANUALMENTE EM FACES INTERNAS DE PAREDES, PARA AMBIENTE COM ÁREA  MAIOR QUE 10M2, ESPESSURA DE 20MM, COM EXECUÇÃO DE TALISCAS. AF_06/2014</v>
      </c>
      <c r="D51" s="129" t="str">
        <f ca="1">IF(OFFSET(PO!O$12,ROW(D51)-ROW(D$12),0)=0,"",OFFSET(PO!O$12,ROW(D51)-ROW(D$12),0))</f>
        <v>M2</v>
      </c>
      <c r="E51" s="165">
        <f ca="1">IF($A51&lt;&gt;"Serviço",0,ROUND(SUMIF($F$9:$Z$9,"&lt;&gt;",$F51:$Z51),15-13*PO!$X$3))</f>
        <v>613.08</v>
      </c>
      <c r="F51" s="215">
        <v>47.16</v>
      </c>
      <c r="G51" s="215">
        <v>47.16</v>
      </c>
      <c r="H51" s="215">
        <v>47.16</v>
      </c>
      <c r="I51" s="215">
        <v>47.16</v>
      </c>
      <c r="J51" s="215">
        <v>47.16</v>
      </c>
      <c r="K51" s="215">
        <v>47.16</v>
      </c>
      <c r="L51" s="215">
        <v>47.16</v>
      </c>
      <c r="M51" s="215">
        <v>47.16</v>
      </c>
      <c r="N51" s="215">
        <v>47.16</v>
      </c>
      <c r="O51" s="215">
        <v>47.16</v>
      </c>
      <c r="P51" s="215">
        <v>47.16</v>
      </c>
      <c r="Q51" s="215">
        <v>47.16</v>
      </c>
      <c r="R51" s="215">
        <v>47.16</v>
      </c>
      <c r="S51" s="215"/>
      <c r="T51" s="215"/>
      <c r="U51" s="215"/>
      <c r="V51" s="215"/>
      <c r="W51" s="215"/>
      <c r="X51" s="215"/>
      <c r="Y51" s="215"/>
      <c r="AE51" s="215"/>
    </row>
    <row r="52" spans="1:31" s="4" customFormat="1" ht="12.75">
      <c r="A52" s="128" t="str">
        <f ca="1">OFFSET(PO!J$12,ROW(A52)-ROW($A$12),0)</f>
        <v>Nível 2</v>
      </c>
      <c r="B52" s="130" t="str">
        <f ca="1">IF($A52=0,"",OFFSET(PO!K$12,ROW(B52)-ROW(B$12),0))</f>
        <v>1.7.</v>
      </c>
      <c r="C52" s="127" t="str">
        <f ca="1">IF(OFFSET(PO!N$12,ROW(C52)-ROW(C$12),0)=0,"",OFFSET(PO!N$12,ROW(C52)-ROW(C$12),0))</f>
        <v xml:space="preserve">Superestrutura - Vigas Superiores e de Amarração </v>
      </c>
      <c r="D52" s="129" t="str">
        <f ca="1">IF(OFFSET(PO!O$12,ROW(D52)-ROW(D$12),0)=0,"",OFFSET(PO!O$12,ROW(D52)-ROW(D$12),0))</f>
        <v/>
      </c>
      <c r="E52" s="165">
        <f ca="1">IF($A52&lt;&gt;"Serviço",0,ROUND(SUMIF($F$9:$Z$9,"&lt;&gt;",$F52:$Z52),15-13*PO!$X$3))</f>
        <v>0</v>
      </c>
      <c r="F52" s="215"/>
      <c r="G52" s="215"/>
      <c r="H52" s="215"/>
      <c r="I52" s="215"/>
      <c r="J52" s="215"/>
      <c r="K52" s="215"/>
      <c r="L52" s="215"/>
      <c r="M52" s="215"/>
      <c r="N52" s="215"/>
      <c r="O52" s="215"/>
      <c r="P52" s="215"/>
      <c r="Q52" s="215"/>
      <c r="R52" s="215"/>
      <c r="S52" s="215"/>
      <c r="T52" s="215"/>
      <c r="U52" s="215"/>
      <c r="V52" s="215"/>
      <c r="W52" s="215"/>
      <c r="X52" s="215"/>
      <c r="Y52" s="215"/>
      <c r="AE52" s="215"/>
    </row>
    <row r="53" spans="1:31" s="4" customFormat="1" ht="52.8">
      <c r="A53" s="128" t="str">
        <f ca="1">OFFSET(PO!J$12,ROW(A53)-ROW($A$12),0)</f>
        <v>Serviço</v>
      </c>
      <c r="B53" s="130" t="str">
        <f ca="1">IF($A53=0,"",OFFSET(PO!K$12,ROW(B53)-ROW(B$12),0))</f>
        <v>1.7.1.</v>
      </c>
      <c r="C53" s="127" t="str">
        <f ca="1">IF(OFFSET(PO!N$12,ROW(C53)-ROW(C$12),0)=0,"",OFFSET(PO!N$12,ROW(C53)-ROW(C$12),0))</f>
        <v>MONTAGEM E DESMONTAGEM DE FÔRMA DE VIGA, ESCORAMENTO COM GARFO DE MADEIRA, PÉ-DIREITO SIMPLES, EM CHAPA DE MADEIRA PLASTIFICADA, 18 UTILIZAÇÕES. AF_09/2020</v>
      </c>
      <c r="D53" s="129" t="str">
        <f ca="1">IF(OFFSET(PO!O$12,ROW(D53)-ROW(D$12),0)=0,"",OFFSET(PO!O$12,ROW(D53)-ROW(D$12),0))</f>
        <v>M2</v>
      </c>
      <c r="E53" s="165">
        <f ca="1">IF($A53&lt;&gt;"Serviço",0,ROUND(SUMIF($F$9:$Z$9,"&lt;&gt;",$F53:$Z53),15-13*PO!$X$3))</f>
        <v>699.66</v>
      </c>
      <c r="F53" s="215">
        <v>53.82</v>
      </c>
      <c r="G53" s="215">
        <v>53.82</v>
      </c>
      <c r="H53" s="215">
        <v>53.82</v>
      </c>
      <c r="I53" s="215">
        <v>53.82</v>
      </c>
      <c r="J53" s="215">
        <v>53.82</v>
      </c>
      <c r="K53" s="215">
        <v>53.82</v>
      </c>
      <c r="L53" s="215">
        <v>53.82</v>
      </c>
      <c r="M53" s="215">
        <v>53.82</v>
      </c>
      <c r="N53" s="215">
        <v>53.82</v>
      </c>
      <c r="O53" s="215">
        <v>53.82</v>
      </c>
      <c r="P53" s="215">
        <v>53.82</v>
      </c>
      <c r="Q53" s="215">
        <v>53.82</v>
      </c>
      <c r="R53" s="215">
        <v>53.82</v>
      </c>
      <c r="S53" s="215"/>
      <c r="T53" s="215"/>
      <c r="U53" s="215"/>
      <c r="V53" s="215"/>
      <c r="W53" s="215"/>
      <c r="X53" s="215"/>
      <c r="Y53" s="215"/>
      <c r="AE53" s="215"/>
    </row>
    <row r="54" spans="1:31" s="4" customFormat="1" ht="39.6">
      <c r="A54" s="128" t="str">
        <f ca="1">OFFSET(PO!J$12,ROW(A54)-ROW($A$12),0)</f>
        <v>Serviço</v>
      </c>
      <c r="B54" s="130" t="str">
        <f ca="1">IF($A54=0,"",OFFSET(PO!K$12,ROW(B54)-ROW(B$12),0))</f>
        <v>1.7.2.</v>
      </c>
      <c r="C54" s="127" t="str">
        <f ca="1">IF(OFFSET(PO!N$12,ROW(C54)-ROW(C$12),0)=0,"",OFFSET(PO!N$12,ROW(C54)-ROW(C$12),0))</f>
        <v>ARMAÇÃO DE PILAR OU VIGA DE ESTRUTURA CONVENCIONAL DE CONCRETO ARMADO UTILIZANDO AÇO CA-50 DE 10,0 MM - MONTAGEM. AF_06/2022</v>
      </c>
      <c r="D54" s="129" t="str">
        <f ca="1">IF(OFFSET(PO!O$12,ROW(D54)-ROW(D$12),0)=0,"",OFFSET(PO!O$12,ROW(D54)-ROW(D$12),0))</f>
        <v>KG</v>
      </c>
      <c r="E54" s="165">
        <f ca="1">IF($A54&lt;&gt;"Serviço",0,ROUND(SUMIF($F$9:$Z$9,"&lt;&gt;",$F54:$Z54),15-13*PO!$X$3))</f>
        <v>2749.37</v>
      </c>
      <c r="F54" s="215">
        <v>211.49</v>
      </c>
      <c r="G54" s="215">
        <v>211.49</v>
      </c>
      <c r="H54" s="215">
        <v>211.49</v>
      </c>
      <c r="I54" s="215">
        <v>211.49</v>
      </c>
      <c r="J54" s="215">
        <v>211.49</v>
      </c>
      <c r="K54" s="215">
        <v>211.49</v>
      </c>
      <c r="L54" s="215">
        <v>211.49</v>
      </c>
      <c r="M54" s="215">
        <v>211.49</v>
      </c>
      <c r="N54" s="215">
        <v>211.49</v>
      </c>
      <c r="O54" s="215">
        <v>211.49</v>
      </c>
      <c r="P54" s="215">
        <v>211.49</v>
      </c>
      <c r="Q54" s="215">
        <v>211.49</v>
      </c>
      <c r="R54" s="215">
        <v>211.49</v>
      </c>
      <c r="S54" s="215"/>
      <c r="T54" s="215"/>
      <c r="U54" s="215"/>
      <c r="V54" s="215"/>
      <c r="W54" s="215"/>
      <c r="X54" s="215"/>
      <c r="Y54" s="215"/>
      <c r="AE54" s="215"/>
    </row>
    <row r="55" spans="1:31" s="4" customFormat="1" ht="39.6">
      <c r="A55" s="128" t="str">
        <f ca="1">OFFSET(PO!J$12,ROW(A55)-ROW($A$12),0)</f>
        <v>Serviço</v>
      </c>
      <c r="B55" s="130" t="str">
        <f ca="1">IF($A55=0,"",OFFSET(PO!K$12,ROW(B55)-ROW(B$12),0))</f>
        <v>1.7.3.</v>
      </c>
      <c r="C55" s="127" t="str">
        <f ca="1">IF(OFFSET(PO!N$12,ROW(C55)-ROW(C$12),0)=0,"",OFFSET(PO!N$12,ROW(C55)-ROW(C$12),0))</f>
        <v>ARMAÇÃO DE PILAR OU VIGA DE ESTRUTURA CONVENCIONAL DE CONCRETO ARMADO UTILIZANDO AÇO CA-60 DE 5,0 MM - MONTAGEM. AF_06/2022</v>
      </c>
      <c r="D55" s="129" t="str">
        <f ca="1">IF(OFFSET(PO!O$12,ROW(D55)-ROW(D$12),0)=0,"",OFFSET(PO!O$12,ROW(D55)-ROW(D$12),0))</f>
        <v>KG</v>
      </c>
      <c r="E55" s="165">
        <f ca="1">IF($A55&lt;&gt;"Serviço",0,ROUND(SUMIF($F$9:$Z$9,"&lt;&gt;",$F55:$Z55),15-13*PO!$X$3))</f>
        <v>920.01</v>
      </c>
      <c r="F55" s="215">
        <v>70.77</v>
      </c>
      <c r="G55" s="215">
        <v>70.77</v>
      </c>
      <c r="H55" s="215">
        <v>70.77</v>
      </c>
      <c r="I55" s="215">
        <v>70.77</v>
      </c>
      <c r="J55" s="215">
        <v>70.77</v>
      </c>
      <c r="K55" s="215">
        <v>70.77</v>
      </c>
      <c r="L55" s="215">
        <v>70.77</v>
      </c>
      <c r="M55" s="215">
        <v>70.77</v>
      </c>
      <c r="N55" s="215">
        <v>70.77</v>
      </c>
      <c r="O55" s="215">
        <v>70.77</v>
      </c>
      <c r="P55" s="215">
        <v>70.77</v>
      </c>
      <c r="Q55" s="215">
        <v>70.77</v>
      </c>
      <c r="R55" s="215">
        <v>70.77</v>
      </c>
      <c r="S55" s="215"/>
      <c r="T55" s="215"/>
      <c r="U55" s="215"/>
      <c r="V55" s="215"/>
      <c r="W55" s="215"/>
      <c r="X55" s="215"/>
      <c r="Y55" s="215"/>
      <c r="AE55" s="215"/>
    </row>
    <row r="56" spans="1:31" s="4" customFormat="1" ht="39.6">
      <c r="A56" s="128" t="str">
        <f ca="1">OFFSET(PO!J$12,ROW(A56)-ROW($A$12),0)</f>
        <v>Serviço</v>
      </c>
      <c r="B56" s="130" t="str">
        <f ca="1">IF($A56=0,"",OFFSET(PO!K$12,ROW(B56)-ROW(B$12),0))</f>
        <v>1.7.4.</v>
      </c>
      <c r="C56" s="127" t="str">
        <f ca="1">IF(OFFSET(PO!N$12,ROW(C56)-ROW(C$12),0)=0,"",OFFSET(PO!N$12,ROW(C56)-ROW(C$12),0))</f>
        <v>CONCRETAGEM DE VIGAS E LAJES, FCK=25 MPA, PARA LAJES PREMOLDADAS COM USO DE BOMBA - LANÇAMENTO, ADENSAMENTO E ACABAMENTO. AF_02/2022_PS</v>
      </c>
      <c r="D56" s="129" t="str">
        <f ca="1">IF(OFFSET(PO!O$12,ROW(D56)-ROW(D$12),0)=0,"",OFFSET(PO!O$12,ROW(D56)-ROW(D$12),0))</f>
        <v>M3</v>
      </c>
      <c r="E56" s="165">
        <f ca="1">IF($A56&lt;&gt;"Serviço",0,ROUND(SUMIF($F$9:$Z$9,"&lt;&gt;",$F56:$Z56),15-13*PO!$X$3))</f>
        <v>55.9</v>
      </c>
      <c r="F56" s="215">
        <v>4.3</v>
      </c>
      <c r="G56" s="215">
        <v>4.3</v>
      </c>
      <c r="H56" s="215">
        <v>4.3</v>
      </c>
      <c r="I56" s="215">
        <v>4.3</v>
      </c>
      <c r="J56" s="215">
        <v>4.3</v>
      </c>
      <c r="K56" s="215">
        <v>4.3</v>
      </c>
      <c r="L56" s="215">
        <v>4.3</v>
      </c>
      <c r="M56" s="215">
        <v>4.3</v>
      </c>
      <c r="N56" s="215">
        <v>4.3</v>
      </c>
      <c r="O56" s="215">
        <v>4.3</v>
      </c>
      <c r="P56" s="215">
        <v>4.3</v>
      </c>
      <c r="Q56" s="215">
        <v>4.3</v>
      </c>
      <c r="R56" s="215">
        <v>4.3</v>
      </c>
      <c r="S56" s="215"/>
      <c r="T56" s="215"/>
      <c r="U56" s="215"/>
      <c r="V56" s="215"/>
      <c r="W56" s="215"/>
      <c r="X56" s="215"/>
      <c r="Y56" s="215"/>
      <c r="AE56" s="215"/>
    </row>
    <row r="57" spans="1:31" s="4" customFormat="1" ht="12.75">
      <c r="A57" s="128" t="str">
        <f ca="1">OFFSET(PO!J$12,ROW(A57)-ROW($A$12),0)</f>
        <v>Nível 2</v>
      </c>
      <c r="B57" s="130" t="str">
        <f ca="1">IF($A57=0,"",OFFSET(PO!K$12,ROW(B57)-ROW(B$12),0))</f>
        <v>1.8.</v>
      </c>
      <c r="C57" s="127" t="str">
        <f ca="1">IF(OFFSET(PO!N$12,ROW(C57)-ROW(C$12),0)=0,"",OFFSET(PO!N$12,ROW(C57)-ROW(C$12),0))</f>
        <v>Superestrutura - Lajes</v>
      </c>
      <c r="D57" s="129" t="str">
        <f ca="1">IF(OFFSET(PO!O$12,ROW(D57)-ROW(D$12),0)=0,"",OFFSET(PO!O$12,ROW(D57)-ROW(D$12),0))</f>
        <v/>
      </c>
      <c r="E57" s="165">
        <f ca="1">IF($A57&lt;&gt;"Serviço",0,ROUND(SUMIF($F$9:$Z$9,"&lt;&gt;",$F57:$Z57),15-13*PO!$X$3))</f>
        <v>0</v>
      </c>
      <c r="F57" s="215"/>
      <c r="G57" s="215"/>
      <c r="H57" s="215"/>
      <c r="I57" s="215"/>
      <c r="J57" s="215"/>
      <c r="K57" s="215"/>
      <c r="L57" s="215"/>
      <c r="M57" s="215"/>
      <c r="N57" s="215"/>
      <c r="O57" s="215"/>
      <c r="P57" s="215"/>
      <c r="Q57" s="215"/>
      <c r="R57" s="215"/>
      <c r="S57" s="215"/>
      <c r="T57" s="215"/>
      <c r="U57" s="215"/>
      <c r="V57" s="215"/>
      <c r="W57" s="215"/>
      <c r="X57" s="215"/>
      <c r="Y57" s="215"/>
      <c r="AE57" s="215"/>
    </row>
    <row r="58" spans="1:31" s="4" customFormat="1" ht="39.6">
      <c r="A58" s="128" t="str">
        <f ca="1">OFFSET(PO!J$12,ROW(A58)-ROW($A$12),0)</f>
        <v>Serviço</v>
      </c>
      <c r="B58" s="130" t="str">
        <f ca="1">IF($A58=0,"",OFFSET(PO!K$12,ROW(B58)-ROW(B$12),0))</f>
        <v>1.8.1.</v>
      </c>
      <c r="C58" s="127" t="str">
        <f ca="1">IF(OFFSET(PO!N$12,ROW(C58)-ROW(C$12),0)=0,"",OFFSET(PO!N$12,ROW(C58)-ROW(C$12),0))</f>
        <v>LAJE PRÉ-MOLDADA UNIDIRECIONAL, BIAPOIADA, PARA FORRO, ENCHIMENTO EM CERÂMICA, VIGOTA CONVENCIONAL, ALTURA TOTAL DA LAJE (ENCHIMENTO+CAPA) = (8+3). AF_11/2020</v>
      </c>
      <c r="D58" s="129" t="str">
        <f ca="1">IF(OFFSET(PO!O$12,ROW(D58)-ROW(D$12),0)=0,"",OFFSET(PO!O$12,ROW(D58)-ROW(D$12),0))</f>
        <v>M2</v>
      </c>
      <c r="E58" s="165">
        <f ca="1">IF($A58&lt;&gt;"Serviço",0,ROUND(SUMIF($F$9:$Z$9,"&lt;&gt;",$F58:$Z58),15-13*PO!$X$3))</f>
        <v>185.12</v>
      </c>
      <c r="F58" s="215">
        <v>14.24</v>
      </c>
      <c r="G58" s="215">
        <v>14.24</v>
      </c>
      <c r="H58" s="215">
        <v>14.24</v>
      </c>
      <c r="I58" s="215">
        <v>14.24</v>
      </c>
      <c r="J58" s="215">
        <v>14.24</v>
      </c>
      <c r="K58" s="215">
        <v>14.24</v>
      </c>
      <c r="L58" s="215">
        <v>14.24</v>
      </c>
      <c r="M58" s="215">
        <v>14.24</v>
      </c>
      <c r="N58" s="215">
        <v>14.24</v>
      </c>
      <c r="O58" s="215">
        <v>14.24</v>
      </c>
      <c r="P58" s="215">
        <v>14.24</v>
      </c>
      <c r="Q58" s="215">
        <v>14.24</v>
      </c>
      <c r="R58" s="215">
        <v>14.24</v>
      </c>
      <c r="S58" s="215"/>
      <c r="T58" s="215"/>
      <c r="U58" s="215"/>
      <c r="V58" s="215"/>
      <c r="W58" s="215"/>
      <c r="X58" s="215"/>
      <c r="Y58" s="215"/>
      <c r="AE58" s="215"/>
    </row>
    <row r="59" spans="1:31" s="4" customFormat="1" ht="52.8">
      <c r="A59" s="128" t="str">
        <f ca="1">OFFSET(PO!J$12,ROW(A59)-ROW($A$12),0)</f>
        <v>Serviço</v>
      </c>
      <c r="B59" s="130" t="str">
        <f ca="1">IF($A59=0,"",OFFSET(PO!K$12,ROW(B59)-ROW(B$12),0))</f>
        <v>1.8.2.</v>
      </c>
      <c r="C59" s="127" t="str">
        <f ca="1">IF(OFFSET(PO!N$12,ROW(C59)-ROW(C$12),0)=0,"",OFFSET(PO!N$12,ROW(C59)-ROW(C$12),0))</f>
        <v>CHAPISCO APLICADO NO TETO OU EM ALVENARIA E ESTRUTURA, COM ROLO PARA TEXTURA ACRÍLICA. ARGAMASSA TRAÇO 1:4 E EMULSÃO POLIMÉRICA (ADESIVO) COM PREPARO EM BETONEIRA 400L. AF_10/2022</v>
      </c>
      <c r="D59" s="129" t="str">
        <f ca="1">IF(OFFSET(PO!O$12,ROW(D59)-ROW(D$12),0)=0,"",OFFSET(PO!O$12,ROW(D59)-ROW(D$12),0))</f>
        <v>M2</v>
      </c>
      <c r="E59" s="165">
        <f ca="1">IF($A59&lt;&gt;"Serviço",0,ROUND(SUMIF($F$9:$Z$9,"&lt;&gt;",$F59:$Z59),15-13*PO!$X$3))</f>
        <v>185.12</v>
      </c>
      <c r="F59" s="215">
        <v>14.24</v>
      </c>
      <c r="G59" s="215">
        <v>14.24</v>
      </c>
      <c r="H59" s="215">
        <v>14.24</v>
      </c>
      <c r="I59" s="215">
        <v>14.24</v>
      </c>
      <c r="J59" s="215">
        <v>14.24</v>
      </c>
      <c r="K59" s="215">
        <v>14.24</v>
      </c>
      <c r="L59" s="215">
        <v>14.24</v>
      </c>
      <c r="M59" s="215">
        <v>14.24</v>
      </c>
      <c r="N59" s="215">
        <v>14.24</v>
      </c>
      <c r="O59" s="215">
        <v>14.24</v>
      </c>
      <c r="P59" s="215">
        <v>14.24</v>
      </c>
      <c r="Q59" s="215">
        <v>14.24</v>
      </c>
      <c r="R59" s="215">
        <v>14.24</v>
      </c>
      <c r="S59" s="215"/>
      <c r="T59" s="215"/>
      <c r="U59" s="215"/>
      <c r="V59" s="215"/>
      <c r="W59" s="215"/>
      <c r="X59" s="215"/>
      <c r="Y59" s="215"/>
      <c r="AE59" s="215"/>
    </row>
    <row r="60" spans="1:31" s="4" customFormat="1" ht="66">
      <c r="A60" s="128" t="str">
        <f ca="1">OFFSET(PO!J$12,ROW(A60)-ROW($A$12),0)</f>
        <v>Serviço</v>
      </c>
      <c r="B60" s="130" t="str">
        <f ca="1">IF($A60=0,"",OFFSET(PO!K$12,ROW(B60)-ROW(B$12),0))</f>
        <v>1.8.3.</v>
      </c>
      <c r="C60" s="127" t="str">
        <f ca="1">IF(OFFSET(PO!N$12,ROW(C60)-ROW(C$12),0)=0,"",OFFSET(PO!N$12,ROW(C60)-ROW(C$12),0))</f>
        <v>MASSA ÚNICA, PARA RECEBIMENTO DE PINTURA, EM ARGAMASSA TRAÇO 1:2:8, PREPARO MECÂNICO COM BETONEIRA 400L, APLICADA MANUALMENTE EM FACES INTERNAS DE PAREDES, ESPESSURA DE 20MM, COM EXECUÇÃO DE TALISCAS. AF_06/2014</v>
      </c>
      <c r="D60" s="129" t="str">
        <f ca="1">IF(OFFSET(PO!O$12,ROW(D60)-ROW(D$12),0)=0,"",OFFSET(PO!O$12,ROW(D60)-ROW(D$12),0))</f>
        <v>M2</v>
      </c>
      <c r="E60" s="165">
        <f ca="1">IF($A60&lt;&gt;"Serviço",0,ROUND(SUMIF($F$9:$Z$9,"&lt;&gt;",$F60:$Z60),15-13*PO!$X$3))</f>
        <v>185.12</v>
      </c>
      <c r="F60" s="215">
        <v>14.24</v>
      </c>
      <c r="G60" s="215">
        <v>14.24</v>
      </c>
      <c r="H60" s="215">
        <v>14.24</v>
      </c>
      <c r="I60" s="215">
        <v>14.24</v>
      </c>
      <c r="J60" s="215">
        <v>14.24</v>
      </c>
      <c r="K60" s="215">
        <v>14.24</v>
      </c>
      <c r="L60" s="215">
        <v>14.24</v>
      </c>
      <c r="M60" s="215">
        <v>14.24</v>
      </c>
      <c r="N60" s="215">
        <v>14.24</v>
      </c>
      <c r="O60" s="215">
        <v>14.24</v>
      </c>
      <c r="P60" s="215">
        <v>14.24</v>
      </c>
      <c r="Q60" s="215">
        <v>14.24</v>
      </c>
      <c r="R60" s="215">
        <v>14.24</v>
      </c>
      <c r="S60" s="215"/>
      <c r="T60" s="215"/>
      <c r="U60" s="215"/>
      <c r="V60" s="215"/>
      <c r="W60" s="215"/>
      <c r="X60" s="215"/>
      <c r="Y60" s="215"/>
      <c r="AE60" s="215"/>
    </row>
    <row r="61" spans="1:31" s="4" customFormat="1" ht="12.75">
      <c r="A61" s="128" t="str">
        <f ca="1">OFFSET(PO!J$12,ROW(A61)-ROW($A$12),0)</f>
        <v>Nível 2</v>
      </c>
      <c r="B61" s="130" t="str">
        <f ca="1">IF($A61=0,"",OFFSET(PO!K$12,ROW(B61)-ROW(B$12),0))</f>
        <v>1.9.</v>
      </c>
      <c r="C61" s="127" t="str">
        <f ca="1">IF(OFFSET(PO!N$12,ROW(C61)-ROW(C$12),0)=0,"",OFFSET(PO!N$12,ROW(C61)-ROW(C$12),0))</f>
        <v xml:space="preserve">Superestrutura - Vergas e Contravergas </v>
      </c>
      <c r="D61" s="129" t="str">
        <f ca="1">IF(OFFSET(PO!O$12,ROW(D61)-ROW(D$12),0)=0,"",OFFSET(PO!O$12,ROW(D61)-ROW(D$12),0))</f>
        <v/>
      </c>
      <c r="E61" s="165">
        <f ca="1">IF($A61&lt;&gt;"Serviço",0,ROUND(SUMIF($F$9:$Z$9,"&lt;&gt;",$F61:$Z61),15-13*PO!$X$3))</f>
        <v>0</v>
      </c>
      <c r="F61" s="215"/>
      <c r="G61" s="215"/>
      <c r="H61" s="215"/>
      <c r="I61" s="215"/>
      <c r="J61" s="215"/>
      <c r="K61" s="215"/>
      <c r="L61" s="215"/>
      <c r="M61" s="215"/>
      <c r="N61" s="215"/>
      <c r="O61" s="215"/>
      <c r="P61" s="215"/>
      <c r="Q61" s="215"/>
      <c r="R61" s="215"/>
      <c r="S61" s="215"/>
      <c r="T61" s="215"/>
      <c r="U61" s="215"/>
      <c r="V61" s="215"/>
      <c r="W61" s="215"/>
      <c r="X61" s="215"/>
      <c r="Y61" s="215"/>
      <c r="AE61" s="215"/>
    </row>
    <row r="62" spans="1:31" s="4" customFormat="1" ht="26.4">
      <c r="A62" s="128" t="str">
        <f ca="1">OFFSET(PO!J$12,ROW(A62)-ROW($A$12),0)</f>
        <v>Serviço</v>
      </c>
      <c r="B62" s="130" t="str">
        <f ca="1">IF($A62=0,"",OFFSET(PO!K$12,ROW(B62)-ROW(B$12),0))</f>
        <v>1.9.1.</v>
      </c>
      <c r="C62" s="127" t="str">
        <f ca="1">IF(OFFSET(PO!N$12,ROW(C62)-ROW(C$12),0)=0,"",OFFSET(PO!N$12,ROW(C62)-ROW(C$12),0))</f>
        <v>VERGA PRÉ-MOLDADA PARA JANELAS COM MAIS DE 1,5 M DE VÃO. AF_03/2016</v>
      </c>
      <c r="D62" s="129" t="str">
        <f ca="1">IF(OFFSET(PO!O$12,ROW(D62)-ROW(D$12),0)=0,"",OFFSET(PO!O$12,ROW(D62)-ROW(D$12),0))</f>
        <v>M</v>
      </c>
      <c r="E62" s="165">
        <f ca="1">IF($A62&lt;&gt;"Serviço",0,ROUND(SUMIF($F$9:$Z$9,"&lt;&gt;",$F62:$Z62),15-13*PO!$X$3))</f>
        <v>20.8</v>
      </c>
      <c r="F62" s="215">
        <v>1.6</v>
      </c>
      <c r="G62" s="215">
        <v>1.6</v>
      </c>
      <c r="H62" s="215">
        <v>1.6</v>
      </c>
      <c r="I62" s="215">
        <v>1.6</v>
      </c>
      <c r="J62" s="215">
        <v>1.6</v>
      </c>
      <c r="K62" s="215">
        <v>1.6</v>
      </c>
      <c r="L62" s="215">
        <v>1.6</v>
      </c>
      <c r="M62" s="215">
        <v>1.6</v>
      </c>
      <c r="N62" s="215">
        <v>1.6</v>
      </c>
      <c r="O62" s="215">
        <v>1.6</v>
      </c>
      <c r="P62" s="215">
        <v>1.6</v>
      </c>
      <c r="Q62" s="215">
        <v>1.6</v>
      </c>
      <c r="R62" s="215">
        <v>1.6</v>
      </c>
      <c r="S62" s="215"/>
      <c r="T62" s="215"/>
      <c r="U62" s="215"/>
      <c r="V62" s="215"/>
      <c r="W62" s="215"/>
      <c r="X62" s="215"/>
      <c r="Y62" s="215"/>
      <c r="AE62" s="215"/>
    </row>
    <row r="63" spans="1:31" s="4" customFormat="1" ht="26.4">
      <c r="A63" s="128" t="str">
        <f ca="1">OFFSET(PO!J$12,ROW(A63)-ROW($A$12),0)</f>
        <v>Serviço</v>
      </c>
      <c r="B63" s="130" t="str">
        <f ca="1">IF($A63=0,"",OFFSET(PO!K$12,ROW(B63)-ROW(B$12),0))</f>
        <v>1.9.2.</v>
      </c>
      <c r="C63" s="127" t="str">
        <f ca="1">IF(OFFSET(PO!N$12,ROW(C63)-ROW(C$12),0)=0,"",OFFSET(PO!N$12,ROW(C63)-ROW(C$12),0))</f>
        <v>VERGA PRÉ-MOLDADA PARA PORTAS COM MAIS DE 1,5 M DE VÃO. AF_03/2016</v>
      </c>
      <c r="D63" s="129" t="str">
        <f ca="1">IF(OFFSET(PO!O$12,ROW(D63)-ROW(D$12),0)=0,"",OFFSET(PO!O$12,ROW(D63)-ROW(D$12),0))</f>
        <v>M</v>
      </c>
      <c r="E63" s="165">
        <f ca="1">IF($A63&lt;&gt;"Serviço",0,ROUND(SUMIF($F$9:$Z$9,"&lt;&gt;",$F63:$Z63),15-13*PO!$X$3))</f>
        <v>185.9</v>
      </c>
      <c r="F63" s="215">
        <v>14.3</v>
      </c>
      <c r="G63" s="215">
        <v>14.3</v>
      </c>
      <c r="H63" s="215">
        <v>14.3</v>
      </c>
      <c r="I63" s="215">
        <v>14.3</v>
      </c>
      <c r="J63" s="215">
        <v>14.3</v>
      </c>
      <c r="K63" s="215">
        <v>14.3</v>
      </c>
      <c r="L63" s="215">
        <v>14.3</v>
      </c>
      <c r="M63" s="215">
        <v>14.3</v>
      </c>
      <c r="N63" s="215">
        <v>14.3</v>
      </c>
      <c r="O63" s="215">
        <v>14.3</v>
      </c>
      <c r="P63" s="215">
        <v>14.3</v>
      </c>
      <c r="Q63" s="215">
        <v>14.3</v>
      </c>
      <c r="R63" s="215">
        <v>14.3</v>
      </c>
      <c r="S63" s="215"/>
      <c r="T63" s="215"/>
      <c r="U63" s="215"/>
      <c r="V63" s="215"/>
      <c r="W63" s="215"/>
      <c r="X63" s="215"/>
      <c r="Y63" s="215"/>
      <c r="AE63" s="215"/>
    </row>
    <row r="64" spans="1:31" s="4" customFormat="1" ht="26.4">
      <c r="A64" s="128" t="str">
        <f ca="1">OFFSET(PO!J$12,ROW(A64)-ROW($A$12),0)</f>
        <v>Serviço</v>
      </c>
      <c r="B64" s="130" t="str">
        <f ca="1">IF($A64=0,"",OFFSET(PO!K$12,ROW(B64)-ROW(B$12),0))</f>
        <v>1.9.3.</v>
      </c>
      <c r="C64" s="127" t="str">
        <f ca="1">IF(OFFSET(PO!N$12,ROW(C64)-ROW(C$12),0)=0,"",OFFSET(PO!N$12,ROW(C64)-ROW(C$12),0))</f>
        <v>CONTRAVERGA PRÉ-MOLDADA PARA VÃOS DE MAIS DE 1,5 M DE COMPRIMENTO. AF_03/2016</v>
      </c>
      <c r="D64" s="129" t="str">
        <f ca="1">IF(OFFSET(PO!O$12,ROW(D64)-ROW(D$12),0)=0,"",OFFSET(PO!O$12,ROW(D64)-ROW(D$12),0))</f>
        <v>M</v>
      </c>
      <c r="E64" s="165">
        <f ca="1">IF($A64&lt;&gt;"Serviço",0,ROUND(SUMIF($F$9:$Z$9,"&lt;&gt;",$F64:$Z64),15-13*PO!$X$3))</f>
        <v>20.8</v>
      </c>
      <c r="F64" s="215">
        <v>1.6</v>
      </c>
      <c r="G64" s="215">
        <v>1.6</v>
      </c>
      <c r="H64" s="215">
        <v>1.6</v>
      </c>
      <c r="I64" s="215">
        <v>1.6</v>
      </c>
      <c r="J64" s="215">
        <v>1.6</v>
      </c>
      <c r="K64" s="215">
        <v>1.6</v>
      </c>
      <c r="L64" s="215">
        <v>1.6</v>
      </c>
      <c r="M64" s="215">
        <v>1.6</v>
      </c>
      <c r="N64" s="215">
        <v>1.6</v>
      </c>
      <c r="O64" s="215">
        <v>1.6</v>
      </c>
      <c r="P64" s="215">
        <v>1.6</v>
      </c>
      <c r="Q64" s="215">
        <v>1.6</v>
      </c>
      <c r="R64" s="215">
        <v>1.6</v>
      </c>
      <c r="S64" s="215"/>
      <c r="T64" s="215"/>
      <c r="U64" s="215"/>
      <c r="V64" s="215"/>
      <c r="W64" s="215"/>
      <c r="X64" s="215"/>
      <c r="Y64" s="215"/>
      <c r="AE64" s="215"/>
    </row>
    <row r="65" spans="1:31" s="4" customFormat="1" ht="12.75">
      <c r="A65" s="128" t="str">
        <f ca="1">OFFSET(PO!J$12,ROW(A65)-ROW($A$12),0)</f>
        <v>Nível 2</v>
      </c>
      <c r="B65" s="130" t="str">
        <f ca="1">IF($A65=0,"",OFFSET(PO!K$12,ROW(B65)-ROW(B$12),0))</f>
        <v>1.10.</v>
      </c>
      <c r="C65" s="127" t="str">
        <f ca="1">IF(OFFSET(PO!N$12,ROW(C65)-ROW(C$12),0)=0,"",OFFSET(PO!N$12,ROW(C65)-ROW(C$12),0))</f>
        <v>Superestrutura - Pisos</v>
      </c>
      <c r="D65" s="129" t="str">
        <f ca="1">IF(OFFSET(PO!O$12,ROW(D65)-ROW(D$12),0)=0,"",OFFSET(PO!O$12,ROW(D65)-ROW(D$12),0))</f>
        <v/>
      </c>
      <c r="E65" s="165">
        <f ca="1">IF($A65&lt;&gt;"Serviço",0,ROUND(SUMIF($F$9:$Z$9,"&lt;&gt;",$F65:$Z65),15-13*PO!$X$3))</f>
        <v>0</v>
      </c>
      <c r="F65" s="215"/>
      <c r="G65" s="215"/>
      <c r="H65" s="215"/>
      <c r="I65" s="215"/>
      <c r="J65" s="215"/>
      <c r="K65" s="215"/>
      <c r="L65" s="215"/>
      <c r="M65" s="215"/>
      <c r="N65" s="215"/>
      <c r="O65" s="215"/>
      <c r="P65" s="215"/>
      <c r="Q65" s="215"/>
      <c r="R65" s="215"/>
      <c r="S65" s="215"/>
      <c r="T65" s="215"/>
      <c r="U65" s="215"/>
      <c r="V65" s="215"/>
      <c r="W65" s="215"/>
      <c r="X65" s="215"/>
      <c r="Y65" s="215"/>
      <c r="AE65" s="215"/>
    </row>
    <row r="66" spans="1:31" s="4" customFormat="1" ht="52.8">
      <c r="A66" s="128" t="str">
        <f ca="1">OFFSET(PO!J$12,ROW(A66)-ROW($A$12),0)</f>
        <v>Serviço</v>
      </c>
      <c r="B66" s="130" t="str">
        <f ca="1">IF($A66=0,"",OFFSET(PO!K$12,ROW(B66)-ROW(B$12),0))</f>
        <v>1.10.1.</v>
      </c>
      <c r="C66" s="127" t="str">
        <f ca="1">IF(OFFSET(PO!N$12,ROW(C66)-ROW(C$12),0)=0,"",OFFSET(PO!N$12,ROW(C66)-ROW(C$12),0))</f>
        <v>ATERRO MECANIZADO DE VALA COM ESCAVADEIRA HIDRÁULICA (CAPACIDADE DA CAÇAMBA: 0,8 M³ / POTÊNCIA: 111 HP), LARGURA DE 1,5 A 2,5 M, PROFUNDIDADE ATÉ 1,5 M, COM SOLO ARGILO-ARENOSO. AF_05/2016</v>
      </c>
      <c r="D66" s="129" t="str">
        <f ca="1">IF(OFFSET(PO!O$12,ROW(D66)-ROW(D$12),0)=0,"",OFFSET(PO!O$12,ROW(D66)-ROW(D$12),0))</f>
        <v>M3</v>
      </c>
      <c r="E66" s="165">
        <f ca="1">IF($A66&lt;&gt;"Serviço",0,ROUND(SUMIF($F$9:$Z$9,"&lt;&gt;",$F66:$Z66),15-13*PO!$X$3))</f>
        <v>526.11</v>
      </c>
      <c r="F66" s="215">
        <v>40.47</v>
      </c>
      <c r="G66" s="215">
        <v>40.47</v>
      </c>
      <c r="H66" s="215">
        <v>40.47</v>
      </c>
      <c r="I66" s="215">
        <v>40.47</v>
      </c>
      <c r="J66" s="215">
        <v>40.47</v>
      </c>
      <c r="K66" s="215">
        <v>40.47</v>
      </c>
      <c r="L66" s="215">
        <v>40.47</v>
      </c>
      <c r="M66" s="215">
        <v>40.47</v>
      </c>
      <c r="N66" s="215">
        <v>40.47</v>
      </c>
      <c r="O66" s="215">
        <v>40.47</v>
      </c>
      <c r="P66" s="215">
        <v>40.47</v>
      </c>
      <c r="Q66" s="215">
        <v>40.47</v>
      </c>
      <c r="R66" s="215">
        <v>40.47</v>
      </c>
      <c r="S66" s="215"/>
      <c r="T66" s="215"/>
      <c r="U66" s="215"/>
      <c r="V66" s="215"/>
      <c r="W66" s="215"/>
      <c r="X66" s="215"/>
      <c r="Y66" s="215"/>
      <c r="AE66" s="215"/>
    </row>
    <row r="67" spans="1:31" s="4" customFormat="1" ht="26.4">
      <c r="A67" s="128" t="str">
        <f ca="1">OFFSET(PO!J$12,ROW(A67)-ROW($A$12),0)</f>
        <v>Serviço</v>
      </c>
      <c r="B67" s="130" t="str">
        <f ca="1">IF($A67=0,"",OFFSET(PO!K$12,ROW(B67)-ROW(B$12),0))</f>
        <v>1.10.2.</v>
      </c>
      <c r="C67" s="127" t="str">
        <f ca="1">IF(OFFSET(PO!N$12,ROW(C67)-ROW(C$12),0)=0,"",OFFSET(PO!N$12,ROW(C67)-ROW(C$12),0))</f>
        <v>LASTRO COM MATERIAL GRANULAR, APLICADO EM PISOS OU LAJES SOBRE SOLO, ESPESSURA DE *5 CM*. AF_08/2017</v>
      </c>
      <c r="D67" s="129" t="str">
        <f ca="1">IF(OFFSET(PO!O$12,ROW(D67)-ROW(D$12),0)=0,"",OFFSET(PO!O$12,ROW(D67)-ROW(D$12),0))</f>
        <v>M3</v>
      </c>
      <c r="E67" s="165">
        <f ca="1">IF($A67&lt;&gt;"Serviço",0,ROUND(SUMIF($F$9:$Z$9,"&lt;&gt;",$F67:$Z67),15-13*PO!$X$3))</f>
        <v>61.23</v>
      </c>
      <c r="F67" s="215">
        <v>4.71</v>
      </c>
      <c r="G67" s="215">
        <v>4.71</v>
      </c>
      <c r="H67" s="215">
        <v>4.71</v>
      </c>
      <c r="I67" s="215">
        <v>4.71</v>
      </c>
      <c r="J67" s="215">
        <v>4.71</v>
      </c>
      <c r="K67" s="215">
        <v>4.71</v>
      </c>
      <c r="L67" s="215">
        <v>4.71</v>
      </c>
      <c r="M67" s="215">
        <v>4.71</v>
      </c>
      <c r="N67" s="215">
        <v>4.71</v>
      </c>
      <c r="O67" s="215">
        <v>4.71</v>
      </c>
      <c r="P67" s="215">
        <v>4.71</v>
      </c>
      <c r="Q67" s="215">
        <v>4.71</v>
      </c>
      <c r="R67" s="215">
        <v>4.71</v>
      </c>
      <c r="S67" s="215"/>
      <c r="T67" s="215"/>
      <c r="U67" s="215"/>
      <c r="V67" s="215"/>
      <c r="W67" s="215"/>
      <c r="X67" s="215"/>
      <c r="Y67" s="215"/>
      <c r="AE67" s="215"/>
    </row>
    <row r="68" spans="1:31" s="4" customFormat="1" ht="39.6">
      <c r="A68" s="128" t="str">
        <f ca="1">OFFSET(PO!J$12,ROW(A68)-ROW($A$12),0)</f>
        <v>Serviço</v>
      </c>
      <c r="B68" s="130" t="str">
        <f ca="1">IF($A68=0,"",OFFSET(PO!K$12,ROW(B68)-ROW(B$12),0))</f>
        <v>1.10.3.</v>
      </c>
      <c r="C68" s="127" t="str">
        <f ca="1">IF(OFFSET(PO!N$12,ROW(C68)-ROW(C$12),0)=0,"",OFFSET(PO!N$12,ROW(C68)-ROW(C$12),0))</f>
        <v xml:space="preserve">TELA DE ACO SOLDADA NERVURADA, CA-60, Q-92, (1,48 KG/M2), DIAMETRO DO FIO = 4,2 MM, LARGURA = 2,45 X 60 M DE COMPRIMENTO, ESPACAMENTO DA MALHA = 15  X 15 CM                                                                                                                                                                                                                                                                                                                                              </v>
      </c>
      <c r="D68" s="129" t="str">
        <f ca="1">IF(OFFSET(PO!O$12,ROW(D68)-ROW(D$12),0)=0,"",OFFSET(PO!O$12,ROW(D68)-ROW(D$12),0))</f>
        <v xml:space="preserve">M2    </v>
      </c>
      <c r="E68" s="165">
        <f ca="1">IF($A68&lt;&gt;"Serviço",0,ROUND(SUMIF($F$9:$Z$9,"&lt;&gt;",$F68:$Z68),15-13*PO!$X$3))</f>
        <v>1223.56</v>
      </c>
      <c r="F68" s="215">
        <v>94.12</v>
      </c>
      <c r="G68" s="215">
        <v>94.12</v>
      </c>
      <c r="H68" s="215">
        <v>94.12</v>
      </c>
      <c r="I68" s="215">
        <v>94.12</v>
      </c>
      <c r="J68" s="215">
        <v>94.12</v>
      </c>
      <c r="K68" s="215">
        <v>94.12</v>
      </c>
      <c r="L68" s="215">
        <v>94.12</v>
      </c>
      <c r="M68" s="215">
        <v>94.12</v>
      </c>
      <c r="N68" s="215">
        <v>94.12</v>
      </c>
      <c r="O68" s="215">
        <v>94.12</v>
      </c>
      <c r="P68" s="215">
        <v>94.12</v>
      </c>
      <c r="Q68" s="215">
        <v>94.12</v>
      </c>
      <c r="R68" s="215">
        <v>94.12</v>
      </c>
      <c r="S68" s="215"/>
      <c r="T68" s="215"/>
      <c r="U68" s="215"/>
      <c r="V68" s="215"/>
      <c r="W68" s="215"/>
      <c r="X68" s="215"/>
      <c r="Y68" s="215"/>
      <c r="AE68" s="215"/>
    </row>
    <row r="69" spans="1:31" s="4" customFormat="1" ht="26.4">
      <c r="A69" s="128" t="str">
        <f ca="1">OFFSET(PO!J$12,ROW(A69)-ROW($A$12),0)</f>
        <v>Serviço</v>
      </c>
      <c r="B69" s="130" t="str">
        <f ca="1">IF($A69=0,"",OFFSET(PO!K$12,ROW(B69)-ROW(B$12),0))</f>
        <v>1.10.4.</v>
      </c>
      <c r="C69" s="127" t="str">
        <f ca="1">IF(OFFSET(PO!N$12,ROW(C69)-ROW(C$12),0)=0,"",OFFSET(PO!N$12,ROW(C69)-ROW(C$12),0))</f>
        <v>CONTRAPISO COM ARGAMASSA AUTONIVELANTE, APLICADO SOBRE LAJE, NÃO ADERIDO, ESPESSURA 5CM. AF_07/2021</v>
      </c>
      <c r="D69" s="129" t="str">
        <f ca="1">IF(OFFSET(PO!O$12,ROW(D69)-ROW(D$12),0)=0,"",OFFSET(PO!O$12,ROW(D69)-ROW(D$12),0))</f>
        <v>M2</v>
      </c>
      <c r="E69" s="165">
        <f ca="1">IF($A69&lt;&gt;"Serviço",0,ROUND(SUMIF($F$9:$Z$9,"&lt;&gt;",$F69:$Z69),15-13*PO!$X$3))</f>
        <v>1223.56</v>
      </c>
      <c r="F69" s="215">
        <v>94.12</v>
      </c>
      <c r="G69" s="215">
        <v>94.12</v>
      </c>
      <c r="H69" s="215">
        <v>94.12</v>
      </c>
      <c r="I69" s="215">
        <v>94.12</v>
      </c>
      <c r="J69" s="215">
        <v>94.12</v>
      </c>
      <c r="K69" s="215">
        <v>94.12</v>
      </c>
      <c r="L69" s="215">
        <v>94.12</v>
      </c>
      <c r="M69" s="215">
        <v>94.12</v>
      </c>
      <c r="N69" s="215">
        <v>94.12</v>
      </c>
      <c r="O69" s="215">
        <v>94.12</v>
      </c>
      <c r="P69" s="215">
        <v>94.12</v>
      </c>
      <c r="Q69" s="215">
        <v>94.12</v>
      </c>
      <c r="R69" s="215">
        <v>94.12</v>
      </c>
      <c r="S69" s="215"/>
      <c r="T69" s="215"/>
      <c r="U69" s="215"/>
      <c r="V69" s="215"/>
      <c r="W69" s="215"/>
      <c r="X69" s="215"/>
      <c r="Y69" s="215"/>
      <c r="AE69" s="215"/>
    </row>
    <row r="70" spans="1:31" s="4" customFormat="1" ht="39.6">
      <c r="A70" s="128" t="str">
        <f ca="1">OFFSET(PO!J$12,ROW(A70)-ROW($A$12),0)</f>
        <v>Serviço</v>
      </c>
      <c r="B70" s="130" t="str">
        <f ca="1">IF($A70=0,"",OFFSET(PO!K$12,ROW(B70)-ROW(B$12),0))</f>
        <v>1.10.5.</v>
      </c>
      <c r="C70" s="127" t="str">
        <f ca="1">IF(OFFSET(PO!N$12,ROW(C70)-ROW(C$12),0)=0,"",OFFSET(PO!N$12,ROW(C70)-ROW(C$12),0))</f>
        <v xml:space="preserve">PISO EM GRANILITE, MARMORITE OU GRANITINA, AGREGADO COR PRETO, CINZA, PALHA OU BRANCO, E=  *8* MM (INCLUSO EXECUCAO)                                                                                                                                                                                                                                                                                                                                                                                      </v>
      </c>
      <c r="D70" s="129" t="str">
        <f ca="1">IF(OFFSET(PO!O$12,ROW(D70)-ROW(D$12),0)=0,"",OFFSET(PO!O$12,ROW(D70)-ROW(D$12),0))</f>
        <v xml:space="preserve">M2    </v>
      </c>
      <c r="E70" s="165">
        <f ca="1">IF($A70&lt;&gt;"Serviço",0,ROUND(SUMIF($F$9:$Z$9,"&lt;&gt;",$F70:$Z70),15-13*PO!$X$3))</f>
        <v>1223.56</v>
      </c>
      <c r="F70" s="215">
        <v>94.12</v>
      </c>
      <c r="G70" s="215">
        <v>94.12</v>
      </c>
      <c r="H70" s="215">
        <v>94.12</v>
      </c>
      <c r="I70" s="215">
        <v>94.12</v>
      </c>
      <c r="J70" s="215">
        <v>94.12</v>
      </c>
      <c r="K70" s="215">
        <v>94.12</v>
      </c>
      <c r="L70" s="215">
        <v>94.12</v>
      </c>
      <c r="M70" s="215">
        <v>94.12</v>
      </c>
      <c r="N70" s="215">
        <v>94.12</v>
      </c>
      <c r="O70" s="215">
        <v>94.12</v>
      </c>
      <c r="P70" s="215">
        <v>94.12</v>
      </c>
      <c r="Q70" s="215">
        <v>94.12</v>
      </c>
      <c r="R70" s="215">
        <v>94.12</v>
      </c>
      <c r="S70" s="215"/>
      <c r="T70" s="215"/>
      <c r="U70" s="215"/>
      <c r="V70" s="215"/>
      <c r="W70" s="215"/>
      <c r="X70" s="215"/>
      <c r="Y70" s="215"/>
      <c r="AE70" s="215"/>
    </row>
    <row r="71" spans="1:31" s="4" customFormat="1" ht="12.75">
      <c r="A71" s="128" t="str">
        <f ca="1">OFFSET(PO!J$12,ROW(A71)-ROW($A$12),0)</f>
        <v>Nível 2</v>
      </c>
      <c r="B71" s="130" t="str">
        <f ca="1">IF($A71=0,"",OFFSET(PO!K$12,ROW(B71)-ROW(B$12),0))</f>
        <v>1.11.</v>
      </c>
      <c r="C71" s="127" t="str">
        <f ca="1">IF(OFFSET(PO!N$12,ROW(C71)-ROW(C$12),0)=0,"",OFFSET(PO!N$12,ROW(C71)-ROW(C$12),0))</f>
        <v xml:space="preserve">Rampa, Escada e Calçada Externa </v>
      </c>
      <c r="D71" s="129" t="str">
        <f ca="1">IF(OFFSET(PO!O$12,ROW(D71)-ROW(D$12),0)=0,"",OFFSET(PO!O$12,ROW(D71)-ROW(D$12),0))</f>
        <v/>
      </c>
      <c r="E71" s="165">
        <f ca="1">IF($A71&lt;&gt;"Serviço",0,ROUND(SUMIF($F$9:$Z$9,"&lt;&gt;",$F71:$Z71),15-13*PO!$X$3))</f>
        <v>0</v>
      </c>
      <c r="F71" s="215"/>
      <c r="G71" s="215"/>
      <c r="H71" s="215"/>
      <c r="I71" s="215"/>
      <c r="J71" s="215"/>
      <c r="K71" s="215"/>
      <c r="L71" s="215"/>
      <c r="M71" s="215"/>
      <c r="N71" s="215"/>
      <c r="O71" s="215"/>
      <c r="P71" s="215"/>
      <c r="Q71" s="215"/>
      <c r="R71" s="215"/>
      <c r="S71" s="215"/>
      <c r="T71" s="215"/>
      <c r="U71" s="215"/>
      <c r="V71" s="215"/>
      <c r="W71" s="215"/>
      <c r="X71" s="215"/>
      <c r="Y71" s="215"/>
      <c r="AE71" s="215"/>
    </row>
    <row r="72" spans="1:31" s="4" customFormat="1" ht="26.4">
      <c r="A72" s="128" t="str">
        <f ca="1">OFFSET(PO!J$12,ROW(A72)-ROW($A$12),0)</f>
        <v>Serviço</v>
      </c>
      <c r="B72" s="130" t="str">
        <f ca="1">IF($A72=0,"",OFFSET(PO!K$12,ROW(B72)-ROW(B$12),0))</f>
        <v>1.11.1.</v>
      </c>
      <c r="C72" s="127" t="str">
        <f ca="1">IF(OFFSET(PO!N$12,ROW(C72)-ROW(C$12),0)=0,"",OFFSET(PO!N$12,ROW(C72)-ROW(C$12),0))</f>
        <v>ESCAVAÇÃO MANUAL DE VALA COM PROFUNDIDADE MENOR OU IGUAL A 1,30 M. AF_02/2021</v>
      </c>
      <c r="D72" s="129" t="str">
        <f ca="1">IF(OFFSET(PO!O$12,ROW(D72)-ROW(D$12),0)=0,"",OFFSET(PO!O$12,ROW(D72)-ROW(D$12),0))</f>
        <v>M3</v>
      </c>
      <c r="E72" s="165">
        <f ca="1">IF($A72&lt;&gt;"Serviço",0,ROUND(SUMIF($F$9:$Z$9,"&lt;&gt;",$F72:$Z72),15-13*PO!$X$3))</f>
        <v>31.85</v>
      </c>
      <c r="F72" s="215">
        <v>2.45</v>
      </c>
      <c r="G72" s="215">
        <v>2.45</v>
      </c>
      <c r="H72" s="215">
        <v>2.45</v>
      </c>
      <c r="I72" s="215">
        <v>2.45</v>
      </c>
      <c r="J72" s="215">
        <v>2.45</v>
      </c>
      <c r="K72" s="215">
        <v>2.45</v>
      </c>
      <c r="L72" s="215">
        <v>2.45</v>
      </c>
      <c r="M72" s="215">
        <v>2.45</v>
      </c>
      <c r="N72" s="215">
        <v>2.45</v>
      </c>
      <c r="O72" s="215">
        <v>2.45</v>
      </c>
      <c r="P72" s="215">
        <v>2.45</v>
      </c>
      <c r="Q72" s="215">
        <v>2.45</v>
      </c>
      <c r="R72" s="215">
        <v>2.45</v>
      </c>
      <c r="S72" s="215"/>
      <c r="T72" s="215"/>
      <c r="U72" s="215"/>
      <c r="V72" s="215"/>
      <c r="W72" s="215"/>
      <c r="X72" s="215"/>
      <c r="Y72" s="215"/>
      <c r="AE72" s="215"/>
    </row>
    <row r="73" spans="1:31" s="4" customFormat="1" ht="26.4">
      <c r="A73" s="128" t="str">
        <f ca="1">OFFSET(PO!J$12,ROW(A73)-ROW($A$12),0)</f>
        <v>Serviço</v>
      </c>
      <c r="B73" s="130" t="str">
        <f ca="1">IF($A73=0,"",OFFSET(PO!K$12,ROW(B73)-ROW(B$12),0))</f>
        <v>1.11.2.</v>
      </c>
      <c r="C73" s="127" t="str">
        <f ca="1">IF(OFFSET(PO!N$12,ROW(C73)-ROW(C$12),0)=0,"",OFFSET(PO!N$12,ROW(C73)-ROW(C$12),0))</f>
        <v>PREPARO DE FUNDO DE VALA COM LARGURA MENOR QUE 1,5 M (ACERTO DO SOLO NATURAL). AF_08/2020</v>
      </c>
      <c r="D73" s="129" t="str">
        <f ca="1">IF(OFFSET(PO!O$12,ROW(D73)-ROW(D$12),0)=0,"",OFFSET(PO!O$12,ROW(D73)-ROW(D$12),0))</f>
        <v>M2</v>
      </c>
      <c r="E73" s="165">
        <f ca="1">IF($A73&lt;&gt;"Serviço",0,ROUND(SUMIF($F$9:$Z$9,"&lt;&gt;",$F73:$Z73),15-13*PO!$X$3))</f>
        <v>128.57</v>
      </c>
      <c r="F73" s="215">
        <v>9.89</v>
      </c>
      <c r="G73" s="215">
        <v>9.89</v>
      </c>
      <c r="H73" s="215">
        <v>9.89</v>
      </c>
      <c r="I73" s="215">
        <v>9.89</v>
      </c>
      <c r="J73" s="215">
        <v>9.89</v>
      </c>
      <c r="K73" s="215">
        <v>9.89</v>
      </c>
      <c r="L73" s="215">
        <v>9.89</v>
      </c>
      <c r="M73" s="215">
        <v>9.89</v>
      </c>
      <c r="N73" s="215">
        <v>9.89</v>
      </c>
      <c r="O73" s="215">
        <v>9.89</v>
      </c>
      <c r="P73" s="215">
        <v>9.89</v>
      </c>
      <c r="Q73" s="215">
        <v>9.89</v>
      </c>
      <c r="R73" s="215">
        <v>9.89</v>
      </c>
      <c r="S73" s="215"/>
      <c r="T73" s="215"/>
      <c r="U73" s="215"/>
      <c r="V73" s="215"/>
      <c r="W73" s="215"/>
      <c r="X73" s="215"/>
      <c r="Y73" s="215"/>
      <c r="AE73" s="215"/>
    </row>
    <row r="74" spans="1:31" s="4" customFormat="1" ht="26.4">
      <c r="A74" s="128" t="str">
        <f ca="1">OFFSET(PO!J$12,ROW(A74)-ROW($A$12),0)</f>
        <v>Serviço</v>
      </c>
      <c r="B74" s="130" t="str">
        <f ca="1">IF($A74=0,"",OFFSET(PO!K$12,ROW(B74)-ROW(B$12),0))</f>
        <v>1.11.3.</v>
      </c>
      <c r="C74" s="127" t="str">
        <f ca="1">IF(OFFSET(PO!N$12,ROW(C74)-ROW(C$12),0)=0,"",OFFSET(PO!N$12,ROW(C74)-ROW(C$12),0))</f>
        <v>LASTRO DE CONCRETO MAGRO, APLICADO EM PISOS, LAJES SOBRE SOLO OU RADIERS, ESPESSURA DE 5 CM. AF_07/2016</v>
      </c>
      <c r="D74" s="129" t="str">
        <f ca="1">IF(OFFSET(PO!O$12,ROW(D74)-ROW(D$12),0)=0,"",OFFSET(PO!O$12,ROW(D74)-ROW(D$12),0))</f>
        <v>M2</v>
      </c>
      <c r="E74" s="165">
        <f ca="1">IF($A74&lt;&gt;"Serviço",0,ROUND(SUMIF($F$9:$Z$9,"&lt;&gt;",$F74:$Z74),15-13*PO!$X$3))</f>
        <v>128.57</v>
      </c>
      <c r="F74" s="215">
        <v>9.89</v>
      </c>
      <c r="G74" s="215">
        <v>9.89</v>
      </c>
      <c r="H74" s="215">
        <v>9.89</v>
      </c>
      <c r="I74" s="215">
        <v>9.89</v>
      </c>
      <c r="J74" s="215">
        <v>9.89</v>
      </c>
      <c r="K74" s="215">
        <v>9.89</v>
      </c>
      <c r="L74" s="215">
        <v>9.89</v>
      </c>
      <c r="M74" s="215">
        <v>9.89</v>
      </c>
      <c r="N74" s="215">
        <v>9.89</v>
      </c>
      <c r="O74" s="215">
        <v>9.89</v>
      </c>
      <c r="P74" s="215">
        <v>9.89</v>
      </c>
      <c r="Q74" s="215">
        <v>9.89</v>
      </c>
      <c r="R74" s="215">
        <v>9.89</v>
      </c>
      <c r="S74" s="215"/>
      <c r="T74" s="215"/>
      <c r="U74" s="215"/>
      <c r="V74" s="215"/>
      <c r="W74" s="215"/>
      <c r="X74" s="215"/>
      <c r="Y74" s="215"/>
      <c r="AE74" s="215"/>
    </row>
    <row r="75" spans="1:31" s="4" customFormat="1" ht="26.4">
      <c r="A75" s="128" t="str">
        <f ca="1">OFFSET(PO!J$12,ROW(A75)-ROW($A$12),0)</f>
        <v>Serviço</v>
      </c>
      <c r="B75" s="130" t="str">
        <f ca="1">IF($A75=0,"",OFFSET(PO!K$12,ROW(B75)-ROW(B$12),0))</f>
        <v>1.11.4.</v>
      </c>
      <c r="C75" s="127" t="str">
        <f ca="1">IF(OFFSET(PO!N$12,ROW(C75)-ROW(C$12),0)=0,"",OFFSET(PO!N$12,ROW(C75)-ROW(C$12),0))</f>
        <v>Alvenaria de tijolos maciços 5x10x20cm (1 vez, para alicerce), assentados com argamassa traço 1:2:8 (cimento, cal e areia)</v>
      </c>
      <c r="D75" s="129" t="str">
        <f ca="1">IF(OFFSET(PO!O$12,ROW(D75)-ROW(D$12),0)=0,"",OFFSET(PO!O$12,ROW(D75)-ROW(D$12),0))</f>
        <v>M²</v>
      </c>
      <c r="E75" s="165">
        <f ca="1">IF($A75&lt;&gt;"Serviço",0,ROUND(SUMIF($F$9:$Z$9,"&lt;&gt;",$F75:$Z75),15-13*PO!$X$3))</f>
        <v>291.72</v>
      </c>
      <c r="F75" s="215">
        <v>22.44</v>
      </c>
      <c r="G75" s="215">
        <v>22.44</v>
      </c>
      <c r="H75" s="215">
        <v>22.44</v>
      </c>
      <c r="I75" s="215">
        <v>22.44</v>
      </c>
      <c r="J75" s="215">
        <v>22.44</v>
      </c>
      <c r="K75" s="215">
        <v>22.44</v>
      </c>
      <c r="L75" s="215">
        <v>22.44</v>
      </c>
      <c r="M75" s="215">
        <v>22.44</v>
      </c>
      <c r="N75" s="215">
        <v>22.44</v>
      </c>
      <c r="O75" s="215">
        <v>22.44</v>
      </c>
      <c r="P75" s="215">
        <v>22.44</v>
      </c>
      <c r="Q75" s="215">
        <v>22.44</v>
      </c>
      <c r="R75" s="215">
        <v>22.44</v>
      </c>
      <c r="S75" s="215"/>
      <c r="T75" s="215"/>
      <c r="U75" s="215"/>
      <c r="V75" s="215"/>
      <c r="W75" s="215"/>
      <c r="X75" s="215"/>
      <c r="Y75" s="215"/>
      <c r="AE75" s="215"/>
    </row>
    <row r="76" spans="1:31" s="4" customFormat="1" ht="52.8">
      <c r="A76" s="128" t="str">
        <f ca="1">OFFSET(PO!J$12,ROW(A76)-ROW($A$12),0)</f>
        <v>Serviço</v>
      </c>
      <c r="B76" s="130" t="str">
        <f ca="1">IF($A76=0,"",OFFSET(PO!K$12,ROW(B76)-ROW(B$12),0))</f>
        <v>1.11.5.</v>
      </c>
      <c r="C76" s="127" t="str">
        <f ca="1">IF(OFFSET(PO!N$12,ROW(C76)-ROW(C$12),0)=0,"",OFFSET(PO!N$12,ROW(C76)-ROW(C$12),0))</f>
        <v>CHAPISCO APLICADO EM ALVENARIA (SEM PRESENÇA DE VÃOS) E ESTRUTURAS DE CONCRETO DE FACHADA, COM COLHER DE PEDREIRO.  ARGAMASSA TRAÇO 1:3 COM PREPARO EM BETONEIRA 400L. AF_10/2022</v>
      </c>
      <c r="D76" s="129" t="str">
        <f ca="1">IF(OFFSET(PO!O$12,ROW(D76)-ROW(D$12),0)=0,"",OFFSET(PO!O$12,ROW(D76)-ROW(D$12),0))</f>
        <v>M2</v>
      </c>
      <c r="E76" s="165">
        <f ca="1">IF($A76&lt;&gt;"Serviço",0,ROUND(SUMIF($F$9:$Z$9,"&lt;&gt;",$F76:$Z76),15-13*PO!$X$3))</f>
        <v>257.92</v>
      </c>
      <c r="F76" s="215">
        <v>19.84</v>
      </c>
      <c r="G76" s="215">
        <v>19.84</v>
      </c>
      <c r="H76" s="215">
        <v>19.84</v>
      </c>
      <c r="I76" s="215">
        <v>19.84</v>
      </c>
      <c r="J76" s="215">
        <v>19.84</v>
      </c>
      <c r="K76" s="215">
        <v>19.84</v>
      </c>
      <c r="L76" s="215">
        <v>19.84</v>
      </c>
      <c r="M76" s="215">
        <v>19.84</v>
      </c>
      <c r="N76" s="215">
        <v>19.84</v>
      </c>
      <c r="O76" s="215">
        <v>19.84</v>
      </c>
      <c r="P76" s="215">
        <v>19.84</v>
      </c>
      <c r="Q76" s="215">
        <v>19.84</v>
      </c>
      <c r="R76" s="215">
        <v>19.84</v>
      </c>
      <c r="S76" s="215"/>
      <c r="T76" s="215"/>
      <c r="U76" s="215"/>
      <c r="V76" s="215"/>
      <c r="W76" s="215"/>
      <c r="X76" s="215"/>
      <c r="Y76" s="215"/>
      <c r="AE76" s="215"/>
    </row>
    <row r="77" spans="1:31" s="4" customFormat="1" ht="52.8">
      <c r="A77" s="128" t="str">
        <f ca="1">OFFSET(PO!J$12,ROW(A77)-ROW($A$12),0)</f>
        <v>Serviço</v>
      </c>
      <c r="B77" s="130" t="str">
        <f ca="1">IF($A77=0,"",OFFSET(PO!K$12,ROW(B77)-ROW(B$12),0))</f>
        <v>1.11.6.</v>
      </c>
      <c r="C77" s="127" t="str">
        <f ca="1">IF(OFFSET(PO!N$12,ROW(C77)-ROW(C$12),0)=0,"",OFFSET(PO!N$12,ROW(C77)-ROW(C$12),0))</f>
        <v>EMBOÇO OU MASSA ÚNICA EM ARGAMASSA TRAÇO 1:2:8, PREPARO MECÂNICO COM BETONEIRA 400 L, APLICADA MANUALMENTE EM PANOS CEGOS DE FACHADA (SEM PRESENÇA DE VÃOS), ESPESSURA DE 25 MM. AF_08/2022</v>
      </c>
      <c r="D77" s="129" t="str">
        <f ca="1">IF(OFFSET(PO!O$12,ROW(D77)-ROW(D$12),0)=0,"",OFFSET(PO!O$12,ROW(D77)-ROW(D$12),0))</f>
        <v>M2</v>
      </c>
      <c r="E77" s="165">
        <f ca="1">IF($A77&lt;&gt;"Serviço",0,ROUND(SUMIF($F$9:$Z$9,"&lt;&gt;",$F77:$Z77),15-13*PO!$X$3))</f>
        <v>320.06</v>
      </c>
      <c r="F77" s="215">
        <v>24.62</v>
      </c>
      <c r="G77" s="215">
        <v>24.62</v>
      </c>
      <c r="H77" s="215">
        <v>24.62</v>
      </c>
      <c r="I77" s="215">
        <v>24.62</v>
      </c>
      <c r="J77" s="215">
        <v>24.62</v>
      </c>
      <c r="K77" s="215">
        <v>24.62</v>
      </c>
      <c r="L77" s="215">
        <v>24.62</v>
      </c>
      <c r="M77" s="215">
        <v>24.62</v>
      </c>
      <c r="N77" s="215">
        <v>24.62</v>
      </c>
      <c r="O77" s="215">
        <v>24.62</v>
      </c>
      <c r="P77" s="215">
        <v>24.62</v>
      </c>
      <c r="Q77" s="215">
        <v>24.62</v>
      </c>
      <c r="R77" s="215">
        <v>24.62</v>
      </c>
      <c r="S77" s="215"/>
      <c r="T77" s="215"/>
      <c r="U77" s="215"/>
      <c r="V77" s="215"/>
      <c r="W77" s="215"/>
      <c r="X77" s="215"/>
      <c r="Y77" s="215"/>
      <c r="AE77" s="215"/>
    </row>
    <row r="78" spans="1:31" s="4" customFormat="1" ht="39.6">
      <c r="A78" s="128" t="str">
        <f ca="1">OFFSET(PO!J$12,ROW(A78)-ROW($A$12),0)</f>
        <v>Serviço</v>
      </c>
      <c r="B78" s="130" t="str">
        <f ca="1">IF($A78=0,"",OFFSET(PO!K$12,ROW(B78)-ROW(B$12),0))</f>
        <v>1.11.7.</v>
      </c>
      <c r="C78" s="127" t="str">
        <f ca="1">IF(OFFSET(PO!N$12,ROW(C78)-ROW(C$12),0)=0,"",OFFSET(PO!N$12,ROW(C78)-ROW(C$12),0))</f>
        <v>FABRICAÇÃO, MONTAGEM E DESMONTAGEM DE FÔRMA PARA VIGA BALDRAME, EM MADEIRA SERRADA, E=25 MM, 4 UTILIZAÇÕES. AF_06/2017</v>
      </c>
      <c r="D78" s="129" t="str">
        <f ca="1">IF(OFFSET(PO!O$12,ROW(D78)-ROW(D$12),0)=0,"",OFFSET(PO!O$12,ROW(D78)-ROW(D$12),0))</f>
        <v>M2</v>
      </c>
      <c r="E78" s="165">
        <f ca="1">IF($A78&lt;&gt;"Serviço",0,ROUND(SUMIF($F$9:$Z$9,"&lt;&gt;",$F78:$Z78),15-13*PO!$X$3))</f>
        <v>190.06</v>
      </c>
      <c r="F78" s="215">
        <v>14.62</v>
      </c>
      <c r="G78" s="215">
        <v>14.62</v>
      </c>
      <c r="H78" s="215">
        <v>14.62</v>
      </c>
      <c r="I78" s="215">
        <v>14.62</v>
      </c>
      <c r="J78" s="215">
        <v>14.62</v>
      </c>
      <c r="K78" s="215">
        <v>14.62</v>
      </c>
      <c r="L78" s="215">
        <v>14.62</v>
      </c>
      <c r="M78" s="215">
        <v>14.62</v>
      </c>
      <c r="N78" s="215">
        <v>14.62</v>
      </c>
      <c r="O78" s="215">
        <v>14.62</v>
      </c>
      <c r="P78" s="215">
        <v>14.62</v>
      </c>
      <c r="Q78" s="215">
        <v>14.62</v>
      </c>
      <c r="R78" s="215">
        <v>14.62</v>
      </c>
      <c r="S78" s="215"/>
      <c r="T78" s="215"/>
      <c r="U78" s="215"/>
      <c r="V78" s="215"/>
      <c r="W78" s="215"/>
      <c r="X78" s="215"/>
      <c r="Y78" s="215"/>
      <c r="AE78" s="215"/>
    </row>
    <row r="79" spans="1:31" s="4" customFormat="1" ht="39.6">
      <c r="A79" s="128" t="str">
        <f ca="1">OFFSET(PO!J$12,ROW(A79)-ROW($A$12),0)</f>
        <v>Serviço</v>
      </c>
      <c r="B79" s="130" t="str">
        <f ca="1">IF($A79=0,"",OFFSET(PO!K$12,ROW(B79)-ROW(B$12),0))</f>
        <v>1.11.8.</v>
      </c>
      <c r="C79" s="127" t="str">
        <f ca="1">IF(OFFSET(PO!N$12,ROW(C79)-ROW(C$12),0)=0,"",OFFSET(PO!N$12,ROW(C79)-ROW(C$12),0))</f>
        <v>ARMAÇÃO DE PILAR OU VIGA DE ESTRUTURA CONVENCIONAL DE CONCRETO ARMADO UTILIZANDO AÇO CA-50 DE 8,0 MM - MONTAGEM. AF_06/2022</v>
      </c>
      <c r="D79" s="129" t="str">
        <f ca="1">IF(OFFSET(PO!O$12,ROW(D79)-ROW(D$12),0)=0,"",OFFSET(PO!O$12,ROW(D79)-ROW(D$12),0))</f>
        <v>KG</v>
      </c>
      <c r="E79" s="165">
        <f ca="1">IF($A79&lt;&gt;"Serviço",0,ROUND(SUMIF($F$9:$Z$9,"&lt;&gt;",$F79:$Z79),15-13*PO!$X$3))</f>
        <v>1172.08</v>
      </c>
      <c r="F79" s="215">
        <v>90.16</v>
      </c>
      <c r="G79" s="215">
        <v>90.16</v>
      </c>
      <c r="H79" s="215">
        <v>90.16</v>
      </c>
      <c r="I79" s="215">
        <v>90.16</v>
      </c>
      <c r="J79" s="215">
        <v>90.16</v>
      </c>
      <c r="K79" s="215">
        <v>90.16</v>
      </c>
      <c r="L79" s="215">
        <v>90.16</v>
      </c>
      <c r="M79" s="215">
        <v>90.16</v>
      </c>
      <c r="N79" s="215">
        <v>90.16</v>
      </c>
      <c r="O79" s="215">
        <v>90.16</v>
      </c>
      <c r="P79" s="215">
        <v>90.16</v>
      </c>
      <c r="Q79" s="215">
        <v>90.16</v>
      </c>
      <c r="R79" s="215">
        <v>90.16</v>
      </c>
      <c r="S79" s="215"/>
      <c r="T79" s="215"/>
      <c r="U79" s="215"/>
      <c r="V79" s="215"/>
      <c r="W79" s="215"/>
      <c r="X79" s="215"/>
      <c r="Y79" s="215"/>
      <c r="AE79" s="215"/>
    </row>
    <row r="80" spans="1:31" s="4" customFormat="1" ht="39.6">
      <c r="A80" s="128" t="str">
        <f ca="1">OFFSET(PO!J$12,ROW(A80)-ROW($A$12),0)</f>
        <v>Serviço</v>
      </c>
      <c r="B80" s="130" t="str">
        <f ca="1">IF($A80=0,"",OFFSET(PO!K$12,ROW(B80)-ROW(B$12),0))</f>
        <v>1.11.9.</v>
      </c>
      <c r="C80" s="127" t="str">
        <f ca="1">IF(OFFSET(PO!N$12,ROW(C80)-ROW(C$12),0)=0,"",OFFSET(PO!N$12,ROW(C80)-ROW(C$12),0))</f>
        <v>ARMAÇÃO DE PILAR OU VIGA DE ESTRUTURA CONVENCIONAL DE CONCRETO ARMADO UTILIZANDO AÇO CA-60 DE 5,0 MM - MONTAGEM. AF_06/2022</v>
      </c>
      <c r="D80" s="129" t="str">
        <f ca="1">IF(OFFSET(PO!O$12,ROW(D80)-ROW(D$12),0)=0,"",OFFSET(PO!O$12,ROW(D80)-ROW(D$12),0))</f>
        <v>KG</v>
      </c>
      <c r="E80" s="165">
        <f ca="1">IF($A80&lt;&gt;"Serviço",0,ROUND(SUMIF($F$9:$Z$9,"&lt;&gt;",$F80:$Z80),15-13*PO!$X$3))</f>
        <v>397.8</v>
      </c>
      <c r="F80" s="215">
        <v>30.6</v>
      </c>
      <c r="G80" s="215">
        <v>30.6</v>
      </c>
      <c r="H80" s="215">
        <v>30.6</v>
      </c>
      <c r="I80" s="215">
        <v>30.6</v>
      </c>
      <c r="J80" s="215">
        <v>30.6</v>
      </c>
      <c r="K80" s="215">
        <v>30.6</v>
      </c>
      <c r="L80" s="215">
        <v>30.6</v>
      </c>
      <c r="M80" s="215">
        <v>30.6</v>
      </c>
      <c r="N80" s="215">
        <v>30.6</v>
      </c>
      <c r="O80" s="215">
        <v>30.6</v>
      </c>
      <c r="P80" s="215">
        <v>30.6</v>
      </c>
      <c r="Q80" s="215">
        <v>30.6</v>
      </c>
      <c r="R80" s="215">
        <v>30.6</v>
      </c>
      <c r="S80" s="215"/>
      <c r="T80" s="215"/>
      <c r="U80" s="215"/>
      <c r="V80" s="215"/>
      <c r="W80" s="215"/>
      <c r="X80" s="215"/>
      <c r="Y80" s="215"/>
      <c r="AE80" s="215"/>
    </row>
    <row r="81" spans="1:31" s="4" customFormat="1" ht="39.6">
      <c r="A81" s="128" t="str">
        <f ca="1">OFFSET(PO!J$12,ROW(A81)-ROW($A$12),0)</f>
        <v>Serviço</v>
      </c>
      <c r="B81" s="130" t="str">
        <f ca="1">IF($A81=0,"",OFFSET(PO!K$12,ROW(B81)-ROW(B$12),0))</f>
        <v>1.11.10.</v>
      </c>
      <c r="C81" s="127" t="str">
        <f ca="1">IF(OFFSET(PO!N$12,ROW(C81)-ROW(C$12),0)=0,"",OFFSET(PO!N$12,ROW(C81)-ROW(C$12),0))</f>
        <v>CONCRETAGEM DE BLOCOS DE COROAMENTO E VIGAS BALDRAMES, FCK 30 MPA, COM USO DE BOMBA  LANÇAMENTO, ADENSAMENTO E ACABAMENTO. AF_06/2017</v>
      </c>
      <c r="D81" s="129" t="str">
        <f ca="1">IF(OFFSET(PO!O$12,ROW(D81)-ROW(D$12),0)=0,"",OFFSET(PO!O$12,ROW(D81)-ROW(D$12),0))</f>
        <v>M3</v>
      </c>
      <c r="E81" s="165">
        <f ca="1">IF($A81&lt;&gt;"Serviço",0,ROUND(SUMIF($F$9:$Z$9,"&lt;&gt;",$F81:$Z81),15-13*PO!$X$3))</f>
        <v>18.98</v>
      </c>
      <c r="F81" s="215">
        <v>1.46</v>
      </c>
      <c r="G81" s="215">
        <v>1.46</v>
      </c>
      <c r="H81" s="215">
        <v>1.46</v>
      </c>
      <c r="I81" s="215">
        <v>1.46</v>
      </c>
      <c r="J81" s="215">
        <v>1.46</v>
      </c>
      <c r="K81" s="215">
        <v>1.46</v>
      </c>
      <c r="L81" s="215">
        <v>1.46</v>
      </c>
      <c r="M81" s="215">
        <v>1.46</v>
      </c>
      <c r="N81" s="215">
        <v>1.46</v>
      </c>
      <c r="O81" s="215">
        <v>1.46</v>
      </c>
      <c r="P81" s="215">
        <v>1.46</v>
      </c>
      <c r="Q81" s="215">
        <v>1.46</v>
      </c>
      <c r="R81" s="215">
        <v>1.46</v>
      </c>
      <c r="S81" s="215"/>
      <c r="T81" s="215"/>
      <c r="U81" s="215"/>
      <c r="V81" s="215"/>
      <c r="W81" s="215"/>
      <c r="X81" s="215"/>
      <c r="Y81" s="215"/>
      <c r="AE81" s="215"/>
    </row>
    <row r="82" spans="1:31" s="4" customFormat="1" ht="52.8">
      <c r="A82" s="128" t="str">
        <f ca="1">OFFSET(PO!J$12,ROW(A82)-ROW($A$12),0)</f>
        <v>Serviço</v>
      </c>
      <c r="B82" s="130" t="str">
        <f ca="1">IF($A82=0,"",OFFSET(PO!K$12,ROW(B82)-ROW(B$12),0))</f>
        <v>1.11.11.</v>
      </c>
      <c r="C82" s="127" t="str">
        <f ca="1">IF(OFFSET(PO!N$12,ROW(C82)-ROW(C$12),0)=0,"",OFFSET(PO!N$12,ROW(C82)-ROW(C$12),0))</f>
        <v>ATERRO MECANIZADO DE VALA COM ESCAVADEIRA HIDRÁULICA (CAPACIDADE DA CAÇAMBA: 0,8 M³ / POTÊNCIA: 111 HP), LARGURA DE 1,5 A 2,5 M, PROFUNDIDADE ATÉ 1,5 M, COM SOLO ARGILO-ARENOSO. AF_05/2016</v>
      </c>
      <c r="D82" s="129" t="str">
        <f ca="1">IF(OFFSET(PO!O$12,ROW(D82)-ROW(D$12),0)=0,"",OFFSET(PO!O$12,ROW(D82)-ROW(D$12),0))</f>
        <v>M3</v>
      </c>
      <c r="E82" s="165">
        <f ca="1">IF($A82&lt;&gt;"Serviço",0,ROUND(SUMIF($F$9:$Z$9,"&lt;&gt;",$F82:$Z82),15-13*PO!$X$3))</f>
        <v>358.67</v>
      </c>
      <c r="F82" s="215">
        <v>27.59</v>
      </c>
      <c r="G82" s="215">
        <v>27.59</v>
      </c>
      <c r="H82" s="215">
        <v>27.59</v>
      </c>
      <c r="I82" s="215">
        <v>27.59</v>
      </c>
      <c r="J82" s="215">
        <v>27.59</v>
      </c>
      <c r="K82" s="215">
        <v>27.59</v>
      </c>
      <c r="L82" s="215">
        <v>27.59</v>
      </c>
      <c r="M82" s="215">
        <v>27.59</v>
      </c>
      <c r="N82" s="215">
        <v>27.59</v>
      </c>
      <c r="O82" s="215">
        <v>27.59</v>
      </c>
      <c r="P82" s="215">
        <v>27.59</v>
      </c>
      <c r="Q82" s="215">
        <v>27.59</v>
      </c>
      <c r="R82" s="215">
        <v>27.59</v>
      </c>
      <c r="S82" s="215"/>
      <c r="T82" s="215"/>
      <c r="U82" s="215"/>
      <c r="V82" s="215"/>
      <c r="W82" s="215"/>
      <c r="X82" s="215"/>
      <c r="Y82" s="215"/>
      <c r="AE82" s="215"/>
    </row>
    <row r="83" spans="1:31" s="4" customFormat="1" ht="26.4">
      <c r="A83" s="128" t="str">
        <f ca="1">OFFSET(PO!J$12,ROW(A83)-ROW($A$12),0)</f>
        <v>Serviço</v>
      </c>
      <c r="B83" s="130" t="str">
        <f ca="1">IF($A83=0,"",OFFSET(PO!K$12,ROW(B83)-ROW(B$12),0))</f>
        <v>1.11.12.</v>
      </c>
      <c r="C83" s="127" t="str">
        <f ca="1">IF(OFFSET(PO!N$12,ROW(C83)-ROW(C$12),0)=0,"",OFFSET(PO!N$12,ROW(C83)-ROW(C$12),0))</f>
        <v>CONTRAPISO COM ARGAMASSA AUTONIVELANTE, APLICADO SOBRE LAJE, NÃO ADERIDO, ESPESSURA 5CM. AF_07/2021</v>
      </c>
      <c r="D83" s="129" t="str">
        <f ca="1">IF(OFFSET(PO!O$12,ROW(D83)-ROW(D$12),0)=0,"",OFFSET(PO!O$12,ROW(D83)-ROW(D$12),0))</f>
        <v>M2</v>
      </c>
      <c r="E83" s="165">
        <f ca="1">IF($A83&lt;&gt;"Serviço",0,ROUND(SUMIF($F$9:$Z$9,"&lt;&gt;",$F83:$Z83),15-13*PO!$X$3))</f>
        <v>597.74</v>
      </c>
      <c r="F83" s="215">
        <v>45.98</v>
      </c>
      <c r="G83" s="215">
        <v>45.98</v>
      </c>
      <c r="H83" s="215">
        <v>45.98</v>
      </c>
      <c r="I83" s="215">
        <v>45.98</v>
      </c>
      <c r="J83" s="215">
        <v>45.98</v>
      </c>
      <c r="K83" s="215">
        <v>45.98</v>
      </c>
      <c r="L83" s="215">
        <v>45.98</v>
      </c>
      <c r="M83" s="215">
        <v>45.98</v>
      </c>
      <c r="N83" s="215">
        <v>45.98</v>
      </c>
      <c r="O83" s="215">
        <v>45.98</v>
      </c>
      <c r="P83" s="215">
        <v>45.98</v>
      </c>
      <c r="Q83" s="215">
        <v>45.98</v>
      </c>
      <c r="R83" s="215">
        <v>45.98</v>
      </c>
      <c r="S83" s="215"/>
      <c r="T83" s="215"/>
      <c r="U83" s="215"/>
      <c r="V83" s="215"/>
      <c r="W83" s="215"/>
      <c r="X83" s="215"/>
      <c r="Y83" s="215"/>
      <c r="AE83" s="215"/>
    </row>
    <row r="84" spans="1:31" s="4" customFormat="1" ht="39.6">
      <c r="A84" s="128" t="str">
        <f ca="1">OFFSET(PO!J$12,ROW(A84)-ROW($A$12),0)</f>
        <v>Serviço</v>
      </c>
      <c r="B84" s="130" t="str">
        <f ca="1">IF($A84=0,"",OFFSET(PO!K$12,ROW(B84)-ROW(B$12),0))</f>
        <v>1.11.13.</v>
      </c>
      <c r="C84" s="127" t="str">
        <f ca="1">IF(OFFSET(PO!N$12,ROW(C84)-ROW(C$12),0)=0,"",OFFSET(PO!N$12,ROW(C84)-ROW(C$12),0))</f>
        <v xml:space="preserve">PISO EM GRANILITE, MARMORITE OU GRANITINA, AGREGADO COR PRETO, CINZA, PALHA OU BRANCO, E=  *8* MM (INCLUSO EXECUCAO)                                                                                                                                                                                                                                                                                                                                                                                      </v>
      </c>
      <c r="D84" s="129" t="str">
        <f ca="1">IF(OFFSET(PO!O$12,ROW(D84)-ROW(D$12),0)=0,"",OFFSET(PO!O$12,ROW(D84)-ROW(D$12),0))</f>
        <v xml:space="preserve">M2    </v>
      </c>
      <c r="E84" s="165">
        <f ca="1">IF($A84&lt;&gt;"Serviço",0,ROUND(SUMIF($F$9:$Z$9,"&lt;&gt;",$F84:$Z84),15-13*PO!$X$3))</f>
        <v>670.02</v>
      </c>
      <c r="F84" s="215">
        <v>51.54</v>
      </c>
      <c r="G84" s="215">
        <v>51.54</v>
      </c>
      <c r="H84" s="215">
        <v>51.54</v>
      </c>
      <c r="I84" s="215">
        <v>51.54</v>
      </c>
      <c r="J84" s="215">
        <v>51.54</v>
      </c>
      <c r="K84" s="215">
        <v>51.54</v>
      </c>
      <c r="L84" s="215">
        <v>51.54</v>
      </c>
      <c r="M84" s="215">
        <v>51.54</v>
      </c>
      <c r="N84" s="215">
        <v>51.54</v>
      </c>
      <c r="O84" s="215">
        <v>51.54</v>
      </c>
      <c r="P84" s="215">
        <v>51.54</v>
      </c>
      <c r="Q84" s="215">
        <v>51.54</v>
      </c>
      <c r="R84" s="215">
        <v>51.54</v>
      </c>
      <c r="S84" s="215"/>
      <c r="T84" s="215"/>
      <c r="U84" s="215"/>
      <c r="V84" s="215"/>
      <c r="W84" s="215"/>
      <c r="X84" s="215"/>
      <c r="Y84" s="215"/>
      <c r="AE84" s="215"/>
    </row>
    <row r="85" spans="1:31" s="4" customFormat="1" ht="66">
      <c r="A85" s="128" t="str">
        <f ca="1">OFFSET(PO!J$12,ROW(A85)-ROW($A$12),0)</f>
        <v>Serviço</v>
      </c>
      <c r="B85" s="130" t="str">
        <f ca="1">IF($A85=0,"",OFFSET(PO!K$12,ROW(B85)-ROW(B$12),0))</f>
        <v>1.11.14.</v>
      </c>
      <c r="C85" s="127" t="str">
        <f ca="1">IF(OFFSET(PO!N$12,ROW(C85)-ROW(C$12),0)=0,"",OFFSET(PO!N$12,ROW(C85)-ROW(C$12),0))</f>
        <v>GUARDA-CORPO DE AÇO GALVANIZADO DE 1,10M DE ALTURA, MONTANTES TUBULARES DE 1.1/2  ESPAÇADOS DE 1,20M, TRAVESSA SUPERIOR DE 2 , GRADIL FORMADO POR BARRAS CHATAS EM FERRO DE 32X4,8MM, FIXADO COM CHUMBADOR MECÂNICO. AF_04/2019_PS</v>
      </c>
      <c r="D85" s="129" t="str">
        <f ca="1">IF(OFFSET(PO!O$12,ROW(D85)-ROW(D$12),0)=0,"",OFFSET(PO!O$12,ROW(D85)-ROW(D$12),0))</f>
        <v>M</v>
      </c>
      <c r="E85" s="165">
        <f ca="1">IF($A85&lt;&gt;"Serviço",0,ROUND(SUMIF($F$9:$Z$9,"&lt;&gt;",$F85:$Z85),15-13*PO!$X$3))</f>
        <v>144.3</v>
      </c>
      <c r="F85" s="215">
        <v>11.1</v>
      </c>
      <c r="G85" s="215">
        <v>11.1</v>
      </c>
      <c r="H85" s="215">
        <v>11.1</v>
      </c>
      <c r="I85" s="215">
        <v>11.1</v>
      </c>
      <c r="J85" s="215">
        <v>11.1</v>
      </c>
      <c r="K85" s="215">
        <v>11.1</v>
      </c>
      <c r="L85" s="215">
        <v>11.1</v>
      </c>
      <c r="M85" s="215">
        <v>11.1</v>
      </c>
      <c r="N85" s="215">
        <v>11.1</v>
      </c>
      <c r="O85" s="215">
        <v>11.1</v>
      </c>
      <c r="P85" s="215">
        <v>11.1</v>
      </c>
      <c r="Q85" s="215">
        <v>11.1</v>
      </c>
      <c r="R85" s="215">
        <v>11.1</v>
      </c>
      <c r="S85" s="215"/>
      <c r="T85" s="215"/>
      <c r="U85" s="215"/>
      <c r="V85" s="215"/>
      <c r="W85" s="215"/>
      <c r="X85" s="215"/>
      <c r="Y85" s="215"/>
      <c r="AE85" s="215"/>
    </row>
    <row r="86" spans="1:31" s="4" customFormat="1" ht="12.75">
      <c r="A86" s="128" t="str">
        <f ca="1">OFFSET(PO!J$12,ROW(A86)-ROW($A$12),0)</f>
        <v>Nível 2</v>
      </c>
      <c r="B86" s="130" t="str">
        <f ca="1">IF($A86=0,"",OFFSET(PO!K$12,ROW(B86)-ROW(B$12),0))</f>
        <v>1.12.</v>
      </c>
      <c r="C86" s="127" t="str">
        <f ca="1">IF(OFFSET(PO!N$12,ROW(C86)-ROW(C$12),0)=0,"",OFFSET(PO!N$12,ROW(C86)-ROW(C$12),0))</f>
        <v>Cobertura - Estrutura e Telhado</v>
      </c>
      <c r="D86" s="129" t="str">
        <f ca="1">IF(OFFSET(PO!O$12,ROW(D86)-ROW(D$12),0)=0,"",OFFSET(PO!O$12,ROW(D86)-ROW(D$12),0))</f>
        <v/>
      </c>
      <c r="E86" s="165">
        <f ca="1">IF($A86&lt;&gt;"Serviço",0,ROUND(SUMIF($F$9:$Z$9,"&lt;&gt;",$F86:$Z86),15-13*PO!$X$3))</f>
        <v>0</v>
      </c>
      <c r="F86" s="215"/>
      <c r="G86" s="215"/>
      <c r="H86" s="215"/>
      <c r="I86" s="215"/>
      <c r="J86" s="215"/>
      <c r="K86" s="215"/>
      <c r="L86" s="215"/>
      <c r="M86" s="215"/>
      <c r="N86" s="215"/>
      <c r="O86" s="215"/>
      <c r="P86" s="215"/>
      <c r="Q86" s="215"/>
      <c r="R86" s="215"/>
      <c r="S86" s="215"/>
      <c r="T86" s="215"/>
      <c r="U86" s="215"/>
      <c r="V86" s="215"/>
      <c r="W86" s="215"/>
      <c r="X86" s="215"/>
      <c r="Y86" s="215"/>
      <c r="AE86" s="215"/>
    </row>
    <row r="87" spans="1:31" s="4" customFormat="1" ht="26.4">
      <c r="A87" s="128" t="str">
        <f ca="1">OFFSET(PO!J$12,ROW(A87)-ROW($A$12),0)</f>
        <v>Serviço</v>
      </c>
      <c r="B87" s="130" t="str">
        <f ca="1">IF($A87=0,"",OFFSET(PO!K$12,ROW(B87)-ROW(B$12),0))</f>
        <v>1.12.1.</v>
      </c>
      <c r="C87" s="127" t="str">
        <f ca="1">IF(OFFSET(PO!N$12,ROW(C87)-ROW(C$12),0)=0,"",OFFSET(PO!N$12,ROW(C87)-ROW(C$12),0))</f>
        <v xml:space="preserve">VIGA APARELHADA *6 X 16* CM, EM MACARANDUBA, ANGELIM OU EQUIVALENTE DA REGIAO                                                                                                                                                                                                                                                                                                                                                                                                                             </v>
      </c>
      <c r="D87" s="129" t="str">
        <f ca="1">IF(OFFSET(PO!O$12,ROW(D87)-ROW(D$12),0)=0,"",OFFSET(PO!O$12,ROW(D87)-ROW(D$12),0))</f>
        <v xml:space="preserve">M     </v>
      </c>
      <c r="E87" s="165">
        <f ca="1">IF($A87&lt;&gt;"Serviço",0,ROUND(SUMIF($F$9:$Z$9,"&lt;&gt;",$F87:$Z87),15-13*PO!$X$3))</f>
        <v>468</v>
      </c>
      <c r="F87" s="215">
        <v>36</v>
      </c>
      <c r="G87" s="215">
        <v>36</v>
      </c>
      <c r="H87" s="215">
        <v>36</v>
      </c>
      <c r="I87" s="215">
        <v>36</v>
      </c>
      <c r="J87" s="215">
        <v>36</v>
      </c>
      <c r="K87" s="215">
        <v>36</v>
      </c>
      <c r="L87" s="215">
        <v>36</v>
      </c>
      <c r="M87" s="215">
        <v>36</v>
      </c>
      <c r="N87" s="215">
        <v>36</v>
      </c>
      <c r="O87" s="215">
        <v>36</v>
      </c>
      <c r="P87" s="215">
        <v>36</v>
      </c>
      <c r="Q87" s="215">
        <v>36</v>
      </c>
      <c r="R87" s="215">
        <v>36</v>
      </c>
      <c r="S87" s="215"/>
      <c r="T87" s="215"/>
      <c r="U87" s="215"/>
      <c r="V87" s="215"/>
      <c r="W87" s="215"/>
      <c r="X87" s="215"/>
      <c r="Y87" s="215"/>
      <c r="AE87" s="215"/>
    </row>
    <row r="88" spans="1:31" s="4" customFormat="1" ht="26.4">
      <c r="A88" s="128" t="str">
        <f ca="1">OFFSET(PO!J$12,ROW(A88)-ROW($A$12),0)</f>
        <v>Serviço</v>
      </c>
      <c r="B88" s="130" t="str">
        <f ca="1">IF($A88=0,"",OFFSET(PO!K$12,ROW(B88)-ROW(B$12),0))</f>
        <v>1.12.2.</v>
      </c>
      <c r="C88" s="127" t="str">
        <f ca="1">IF(OFFSET(PO!N$12,ROW(C88)-ROW(C$12),0)=0,"",OFFSET(PO!N$12,ROW(C88)-ROW(C$12),0))</f>
        <v xml:space="preserve">VIGA APARELHADA  *6 X 12* CM, EM MACARANDUBA, ANGELIM OU EQUIVALENTE DA REGIAO                                                                                                                                                                                                                                                                                                                                                                                                                            </v>
      </c>
      <c r="D88" s="129" t="str">
        <f ca="1">IF(OFFSET(PO!O$12,ROW(D88)-ROW(D$12),0)=0,"",OFFSET(PO!O$12,ROW(D88)-ROW(D$12),0))</f>
        <v xml:space="preserve">M     </v>
      </c>
      <c r="E88" s="165">
        <f ca="1">IF($A88&lt;&gt;"Serviço",0,ROUND(SUMIF($F$9:$Z$9,"&lt;&gt;",$F88:$Z88),15-13*PO!$X$3))</f>
        <v>3976.7</v>
      </c>
      <c r="F88" s="215">
        <v>305.9</v>
      </c>
      <c r="G88" s="215">
        <v>305.9</v>
      </c>
      <c r="H88" s="215">
        <v>305.9</v>
      </c>
      <c r="I88" s="215">
        <v>305.9</v>
      </c>
      <c r="J88" s="215">
        <v>305.9</v>
      </c>
      <c r="K88" s="215">
        <v>305.9</v>
      </c>
      <c r="L88" s="215">
        <v>305.9</v>
      </c>
      <c r="M88" s="215">
        <v>305.9</v>
      </c>
      <c r="N88" s="215">
        <v>305.9</v>
      </c>
      <c r="O88" s="215">
        <v>305.9</v>
      </c>
      <c r="P88" s="215">
        <v>305.9</v>
      </c>
      <c r="Q88" s="215">
        <v>305.9</v>
      </c>
      <c r="R88" s="215">
        <v>305.9</v>
      </c>
      <c r="S88" s="215"/>
      <c r="T88" s="215"/>
      <c r="U88" s="215"/>
      <c r="V88" s="215"/>
      <c r="W88" s="215"/>
      <c r="X88" s="215"/>
      <c r="Y88" s="215"/>
      <c r="AE88" s="215"/>
    </row>
    <row r="89" spans="1:31" s="4" customFormat="1" ht="39.6">
      <c r="A89" s="128" t="str">
        <f ca="1">OFFSET(PO!J$12,ROW(A89)-ROW($A$12),0)</f>
        <v>Serviço</v>
      </c>
      <c r="B89" s="130" t="str">
        <f ca="1">IF($A89=0,"",OFFSET(PO!K$12,ROW(B89)-ROW(B$12),0))</f>
        <v>1.12.3.</v>
      </c>
      <c r="C89" s="127" t="str">
        <f ca="1">IF(OFFSET(PO!N$12,ROW(C89)-ROW(C$12),0)=0,"",OFFSET(PO!N$12,ROW(C89)-ROW(C$12),0))</f>
        <v xml:space="preserve">FORRO DE MADEIRA CEDRINHO OU EQUIVALENTE DA REGIAO, ENCAIXE MACHO/FEMEA COM FRISO, *10 X 1* CM (SEM COLOCACAO)                                                                                                                                                                                                                                                                                                                                                                                            </v>
      </c>
      <c r="D89" s="129" t="str">
        <f ca="1">IF(OFFSET(PO!O$12,ROW(D89)-ROW(D$12),0)=0,"",OFFSET(PO!O$12,ROW(D89)-ROW(D$12),0))</f>
        <v xml:space="preserve">M2    </v>
      </c>
      <c r="E89" s="165">
        <f ca="1">IF($A89&lt;&gt;"Serviço",0,ROUND(SUMIF($F$9:$Z$9,"&lt;&gt;",$F89:$Z89),15-13*PO!$X$3))</f>
        <v>2034.63</v>
      </c>
      <c r="F89" s="215">
        <v>156.51</v>
      </c>
      <c r="G89" s="215">
        <v>156.51</v>
      </c>
      <c r="H89" s="215">
        <v>156.51</v>
      </c>
      <c r="I89" s="215">
        <v>156.51</v>
      </c>
      <c r="J89" s="215">
        <v>156.51</v>
      </c>
      <c r="K89" s="215">
        <v>156.51</v>
      </c>
      <c r="L89" s="215">
        <v>156.51</v>
      </c>
      <c r="M89" s="215">
        <v>156.51</v>
      </c>
      <c r="N89" s="215">
        <v>156.51</v>
      </c>
      <c r="O89" s="215">
        <v>156.51</v>
      </c>
      <c r="P89" s="215">
        <v>156.51</v>
      </c>
      <c r="Q89" s="215">
        <v>156.51</v>
      </c>
      <c r="R89" s="215">
        <v>156.51</v>
      </c>
      <c r="S89" s="215"/>
      <c r="T89" s="215"/>
      <c r="U89" s="215"/>
      <c r="V89" s="215"/>
      <c r="W89" s="215"/>
      <c r="X89" s="215"/>
      <c r="Y89" s="215"/>
      <c r="AE89" s="215"/>
    </row>
    <row r="90" spans="1:31" s="4" customFormat="1" ht="12.75">
      <c r="A90" s="128" t="str">
        <f ca="1">OFFSET(PO!J$12,ROW(A90)-ROW($A$12),0)</f>
        <v>Serviço</v>
      </c>
      <c r="B90" s="130" t="str">
        <f ca="1">IF($A90=0,"",OFFSET(PO!K$12,ROW(B90)-ROW(B$12),0))</f>
        <v>1.12.4.</v>
      </c>
      <c r="C90" s="127" t="str">
        <f ca="1">IF(OFFSET(PO!N$12,ROW(C90)-ROW(C$12),0)=0,"",OFFSET(PO!N$12,ROW(C90)-ROW(C$12),0))</f>
        <v xml:space="preserve">LONA PLASTICA PESADA PRETA, E = 150 MICRA                                                                                                                                                                                                                                                                                                                                                                                                                                                                 </v>
      </c>
      <c r="D90" s="129" t="str">
        <f ca="1">IF(OFFSET(PO!O$12,ROW(D90)-ROW(D$12),0)=0,"",OFFSET(PO!O$12,ROW(D90)-ROW(D$12),0))</f>
        <v xml:space="preserve">M2    </v>
      </c>
      <c r="E90" s="165">
        <f ca="1">IF($A90&lt;&gt;"Serviço",0,ROUND(SUMIF($F$9:$Z$9,"&lt;&gt;",$F90:$Z90),15-13*PO!$X$3))</f>
        <v>2034.63</v>
      </c>
      <c r="F90" s="215">
        <v>156.51</v>
      </c>
      <c r="G90" s="215">
        <v>156.51</v>
      </c>
      <c r="H90" s="215">
        <v>156.51</v>
      </c>
      <c r="I90" s="215">
        <v>156.51</v>
      </c>
      <c r="J90" s="215">
        <v>156.51</v>
      </c>
      <c r="K90" s="215">
        <v>156.51</v>
      </c>
      <c r="L90" s="215">
        <v>156.51</v>
      </c>
      <c r="M90" s="215">
        <v>156.51</v>
      </c>
      <c r="N90" s="215">
        <v>156.51</v>
      </c>
      <c r="O90" s="215">
        <v>156.51</v>
      </c>
      <c r="P90" s="215">
        <v>156.51</v>
      </c>
      <c r="Q90" s="215">
        <v>156.51</v>
      </c>
      <c r="R90" s="215">
        <v>156.51</v>
      </c>
      <c r="S90" s="215"/>
      <c r="T90" s="215"/>
      <c r="U90" s="215"/>
      <c r="V90" s="215"/>
      <c r="W90" s="215"/>
      <c r="X90" s="215"/>
      <c r="Y90" s="215"/>
      <c r="AE90" s="215"/>
    </row>
    <row r="91" spans="1:31" s="4" customFormat="1" ht="26.4">
      <c r="A91" s="128" t="str">
        <f ca="1">OFFSET(PO!J$12,ROW(A91)-ROW($A$12),0)</f>
        <v>Serviço</v>
      </c>
      <c r="B91" s="130" t="str">
        <f ca="1">IF($A91=0,"",OFFSET(PO!K$12,ROW(B91)-ROW(B$12),0))</f>
        <v>1.12.5.</v>
      </c>
      <c r="C91" s="127" t="str">
        <f ca="1">IF(OFFSET(PO!N$12,ROW(C91)-ROW(C$12),0)=0,"",OFFSET(PO!N$12,ROW(C91)-ROW(C$12),0))</f>
        <v xml:space="preserve">RIPA NAO APARELHADA  *1 X 3* CM, EM MACARANDUBA, ANGELIM OU EQUIVALENTE DA REGIAO - BRUTA                                                                                                                                                                                                                                                                                                                                                                                                                 </v>
      </c>
      <c r="D91" s="129" t="str">
        <f ca="1">IF(OFFSET(PO!O$12,ROW(D91)-ROW(D$12),0)=0,"",OFFSET(PO!O$12,ROW(D91)-ROW(D$12),0))</f>
        <v xml:space="preserve">M     </v>
      </c>
      <c r="E91" s="165">
        <f ca="1">IF($A91&lt;&gt;"Serviço",0,ROUND(SUMIF($F$9:$Z$9,"&lt;&gt;",$F91:$Z91),15-13*PO!$X$3))</f>
        <v>6570.2</v>
      </c>
      <c r="F91" s="215">
        <v>505.4</v>
      </c>
      <c r="G91" s="215">
        <v>505.4</v>
      </c>
      <c r="H91" s="215">
        <v>505.4</v>
      </c>
      <c r="I91" s="215">
        <v>505.4</v>
      </c>
      <c r="J91" s="215">
        <v>505.4</v>
      </c>
      <c r="K91" s="215">
        <v>505.4</v>
      </c>
      <c r="L91" s="215">
        <v>505.4</v>
      </c>
      <c r="M91" s="215">
        <v>505.4</v>
      </c>
      <c r="N91" s="215">
        <v>505.4</v>
      </c>
      <c r="O91" s="215">
        <v>505.4</v>
      </c>
      <c r="P91" s="215">
        <v>505.4</v>
      </c>
      <c r="Q91" s="215">
        <v>505.4</v>
      </c>
      <c r="R91" s="215">
        <v>505.4</v>
      </c>
      <c r="S91" s="215"/>
      <c r="T91" s="215"/>
      <c r="U91" s="215"/>
      <c r="V91" s="215"/>
      <c r="W91" s="215"/>
      <c r="X91" s="215"/>
      <c r="Y91" s="215"/>
      <c r="AE91" s="215"/>
    </row>
    <row r="92" spans="1:31" s="4" customFormat="1" ht="39.6">
      <c r="A92" s="128" t="str">
        <f ca="1">OFFSET(PO!J$12,ROW(A92)-ROW($A$12),0)</f>
        <v>Serviço</v>
      </c>
      <c r="B92" s="130" t="str">
        <f ca="1">IF($A92=0,"",OFFSET(PO!K$12,ROW(B92)-ROW(B$12),0))</f>
        <v>1.12.6.</v>
      </c>
      <c r="C92" s="127" t="str">
        <f ca="1">IF(OFFSET(PO!N$12,ROW(C92)-ROW(C$12),0)=0,"",OFFSET(PO!N$12,ROW(C92)-ROW(C$12),0))</f>
        <v xml:space="preserve">TELHA DE BARRO / CERAMICA, NAO ESMALTADA, TIPO ROMANA, AMERICANA, PORTUGUESA, FRANCESA, COMPRIMENTO DE *41* CM,  RENDIMENTO DE *16* TELHAS/M2                                                                                                                                                                                                                                                                                                                                                             </v>
      </c>
      <c r="D92" s="129" t="str">
        <f ca="1">IF(OFFSET(PO!O$12,ROW(D92)-ROW(D$12),0)=0,"",OFFSET(PO!O$12,ROW(D92)-ROW(D$12),0))</f>
        <v xml:space="preserve">UN    </v>
      </c>
      <c r="E92" s="165">
        <f ca="1">IF($A92&lt;&gt;"Serviço",0,ROUND(SUMIF($F$9:$Z$9,"&lt;&gt;",$F92:$Z92),15-13*PO!$X$3))</f>
        <v>31525</v>
      </c>
      <c r="F92" s="215">
        <v>2425</v>
      </c>
      <c r="G92" s="215">
        <v>2425</v>
      </c>
      <c r="H92" s="215">
        <v>2425</v>
      </c>
      <c r="I92" s="215">
        <v>2425</v>
      </c>
      <c r="J92" s="215">
        <v>2425</v>
      </c>
      <c r="K92" s="215">
        <v>2425</v>
      </c>
      <c r="L92" s="215">
        <v>2425</v>
      </c>
      <c r="M92" s="215">
        <v>2425</v>
      </c>
      <c r="N92" s="215">
        <v>2425</v>
      </c>
      <c r="O92" s="215">
        <v>2425</v>
      </c>
      <c r="P92" s="215">
        <v>2425</v>
      </c>
      <c r="Q92" s="215">
        <v>2425</v>
      </c>
      <c r="R92" s="215">
        <v>2425</v>
      </c>
      <c r="S92" s="215"/>
      <c r="T92" s="215"/>
      <c r="U92" s="215"/>
      <c r="V92" s="215"/>
      <c r="W92" s="215"/>
      <c r="X92" s="215"/>
      <c r="Y92" s="215"/>
      <c r="AE92" s="215"/>
    </row>
    <row r="93" spans="1:31" s="4" customFormat="1" ht="52.8">
      <c r="A93" s="128" t="str">
        <f ca="1">OFFSET(PO!J$12,ROW(A93)-ROW($A$12),0)</f>
        <v>Serviço</v>
      </c>
      <c r="B93" s="130" t="str">
        <f ca="1">IF($A93=0,"",OFFSET(PO!K$12,ROW(B93)-ROW(B$12),0))</f>
        <v>1.12.7.</v>
      </c>
      <c r="C93" s="127" t="str">
        <f ca="1">IF(OFFSET(PO!N$12,ROW(C93)-ROW(C$12),0)=0,"",OFFSET(PO!N$12,ROW(C93)-ROW(C$12),0))</f>
        <v>TELHAMENTO COM TELHA ONDULADA DE FIBROCIMENTO E = 6 MM, COM RECOBRIMENTO LATERAL DE 1 1/4 DE ONDA PARA TELHADO COM INCLINAÇÃO MÁXIMA DE 10°, COM ATÉ 2 ÁGUAS, INCLUSO IÇAMENTO. AF_07/2019</v>
      </c>
      <c r="D93" s="129" t="str">
        <f ca="1">IF(OFFSET(PO!O$12,ROW(D93)-ROW(D$12),0)=0,"",OFFSET(PO!O$12,ROW(D93)-ROW(D$12),0))</f>
        <v>M2</v>
      </c>
      <c r="E93" s="165">
        <f ca="1">IF($A93&lt;&gt;"Serviço",0,ROUND(SUMIF($F$9:$Z$9,"&lt;&gt;",$F93:$Z93),15-13*PO!$X$3))</f>
        <v>156</v>
      </c>
      <c r="F93" s="215">
        <v>12</v>
      </c>
      <c r="G93" s="215">
        <v>12</v>
      </c>
      <c r="H93" s="215">
        <v>12</v>
      </c>
      <c r="I93" s="215">
        <v>12</v>
      </c>
      <c r="J93" s="215">
        <v>12</v>
      </c>
      <c r="K93" s="215">
        <v>12</v>
      </c>
      <c r="L93" s="215">
        <v>12</v>
      </c>
      <c r="M93" s="215">
        <v>12</v>
      </c>
      <c r="N93" s="215">
        <v>12</v>
      </c>
      <c r="O93" s="215">
        <v>12</v>
      </c>
      <c r="P93" s="215">
        <v>12</v>
      </c>
      <c r="Q93" s="215">
        <v>12</v>
      </c>
      <c r="R93" s="215">
        <v>12</v>
      </c>
      <c r="S93" s="215"/>
      <c r="T93" s="215"/>
      <c r="U93" s="215"/>
      <c r="V93" s="215"/>
      <c r="W93" s="215"/>
      <c r="X93" s="215"/>
      <c r="Y93" s="215"/>
      <c r="AE93" s="215"/>
    </row>
    <row r="94" spans="1:31" s="4" customFormat="1" ht="52.8">
      <c r="A94" s="128" t="str">
        <f ca="1">OFFSET(PO!J$12,ROW(A94)-ROW($A$12),0)</f>
        <v>Serviço</v>
      </c>
      <c r="B94" s="130" t="str">
        <f ca="1">IF($A94=0,"",OFFSET(PO!K$12,ROW(B94)-ROW(B$12),0))</f>
        <v>1.12.8.</v>
      </c>
      <c r="C94" s="127" t="str">
        <f ca="1">IF(OFFSET(PO!N$12,ROW(C94)-ROW(C$12),0)=0,"",OFFSET(PO!N$12,ROW(C94)-ROW(C$12),0))</f>
        <v>TRAMA DE MADEIRA COMPOSTA POR TERÇAS PARA TELHADOS DE ATÉ 2 ÁGUAS PARA TELHA ONDULADA DE FIBROCIMENTO, METÁLICA, PLÁSTICA OU TERMOACÚSTICA, INCLUSO TRANSPORTE VERTICAL. AF_07/2019</v>
      </c>
      <c r="D94" s="129" t="str">
        <f ca="1">IF(OFFSET(PO!O$12,ROW(D94)-ROW(D$12),0)=0,"",OFFSET(PO!O$12,ROW(D94)-ROW(D$12),0))</f>
        <v>M2</v>
      </c>
      <c r="E94" s="165">
        <f ca="1">IF($A94&lt;&gt;"Serviço",0,ROUND(SUMIF($F$9:$Z$9,"&lt;&gt;",$F94:$Z94),15-13*PO!$X$3))</f>
        <v>156</v>
      </c>
      <c r="F94" s="215">
        <v>12</v>
      </c>
      <c r="G94" s="215">
        <v>12</v>
      </c>
      <c r="H94" s="215">
        <v>12</v>
      </c>
      <c r="I94" s="215">
        <v>12</v>
      </c>
      <c r="J94" s="215">
        <v>12</v>
      </c>
      <c r="K94" s="215">
        <v>12</v>
      </c>
      <c r="L94" s="215">
        <v>12</v>
      </c>
      <c r="M94" s="215">
        <v>12</v>
      </c>
      <c r="N94" s="215">
        <v>12</v>
      </c>
      <c r="O94" s="215">
        <v>12</v>
      </c>
      <c r="P94" s="215">
        <v>12</v>
      </c>
      <c r="Q94" s="215">
        <v>12</v>
      </c>
      <c r="R94" s="215">
        <v>12</v>
      </c>
      <c r="S94" s="215"/>
      <c r="T94" s="215"/>
      <c r="U94" s="215"/>
      <c r="V94" s="215"/>
      <c r="W94" s="215"/>
      <c r="X94" s="215"/>
      <c r="Y94" s="215"/>
      <c r="AE94" s="215"/>
    </row>
    <row r="95" spans="1:31" s="4" customFormat="1" ht="12.75">
      <c r="A95" s="128" t="str">
        <f ca="1">OFFSET(PO!J$12,ROW(A95)-ROW($A$12),0)</f>
        <v>Serviço</v>
      </c>
      <c r="B95" s="130" t="str">
        <f ca="1">IF($A95=0,"",OFFSET(PO!K$12,ROW(B95)-ROW(B$12),0))</f>
        <v>1.12.9.</v>
      </c>
      <c r="C95" s="127" t="str">
        <f ca="1">IF(OFFSET(PO!N$12,ROW(C95)-ROW(C$12),0)=0,"",OFFSET(PO!N$12,ROW(C95)-ROW(C$12),0))</f>
        <v>Serviço de execução de estrutura de cobertura e telhamento</v>
      </c>
      <c r="D95" s="129" t="str">
        <f ca="1">IF(OFFSET(PO!O$12,ROW(D95)-ROW(D$12),0)=0,"",OFFSET(PO!O$12,ROW(D95)-ROW(D$12),0))</f>
        <v>M²</v>
      </c>
      <c r="E95" s="165">
        <f ca="1">IF($A95&lt;&gt;"Serviço",0,ROUND(SUMIF($F$9:$Z$9,"&lt;&gt;",$F95:$Z95),15-13*PO!$X$3))</f>
        <v>2034.63</v>
      </c>
      <c r="F95" s="215">
        <v>156.51</v>
      </c>
      <c r="G95" s="215">
        <v>156.51</v>
      </c>
      <c r="H95" s="215">
        <v>156.51</v>
      </c>
      <c r="I95" s="215">
        <v>156.51</v>
      </c>
      <c r="J95" s="215">
        <v>156.51</v>
      </c>
      <c r="K95" s="215">
        <v>156.51</v>
      </c>
      <c r="L95" s="215">
        <v>156.51</v>
      </c>
      <c r="M95" s="215">
        <v>156.51</v>
      </c>
      <c r="N95" s="215">
        <v>156.51</v>
      </c>
      <c r="O95" s="215">
        <v>156.51</v>
      </c>
      <c r="P95" s="215">
        <v>156.51</v>
      </c>
      <c r="Q95" s="215">
        <v>156.51</v>
      </c>
      <c r="R95" s="215">
        <v>156.51</v>
      </c>
      <c r="S95" s="215"/>
      <c r="T95" s="215"/>
      <c r="U95" s="215"/>
      <c r="V95" s="215"/>
      <c r="W95" s="215"/>
      <c r="X95" s="215"/>
      <c r="Y95" s="215"/>
      <c r="AE95" s="215"/>
    </row>
    <row r="96" spans="1:31" s="4" customFormat="1" ht="26.4">
      <c r="A96" s="128" t="str">
        <f ca="1">OFFSET(PO!J$12,ROW(A96)-ROW($A$12),0)</f>
        <v>Serviço</v>
      </c>
      <c r="B96" s="130" t="str">
        <f ca="1">IF($A96=0,"",OFFSET(PO!K$12,ROW(B96)-ROW(B$12),0))</f>
        <v>1.12.10.</v>
      </c>
      <c r="C96" s="127" t="str">
        <f ca="1">IF(OFFSET(PO!N$12,ROW(C96)-ROW(C$12),0)=0,"",OFFSET(PO!N$12,ROW(C96)-ROW(C$12),0))</f>
        <v xml:space="preserve">CALHA QUADRADA DE CHAPA DE ACO GALVANIZADA NUM 26, CORTE 33 CM                                                                                                                                                                                                                                                                                                                                                                                                                                            </v>
      </c>
      <c r="D96" s="129" t="str">
        <f ca="1">IF(OFFSET(PO!O$12,ROW(D96)-ROW(D$12),0)=0,"",OFFSET(PO!O$12,ROW(D96)-ROW(D$12),0))</f>
        <v xml:space="preserve">M     </v>
      </c>
      <c r="E96" s="165">
        <f ca="1">IF($A96&lt;&gt;"Serviço",0,ROUND(SUMIF($F$9:$Z$9,"&lt;&gt;",$F96:$Z96),15-13*PO!$X$3))</f>
        <v>262.6</v>
      </c>
      <c r="F96" s="215">
        <v>20.2</v>
      </c>
      <c r="G96" s="215">
        <v>20.2</v>
      </c>
      <c r="H96" s="215">
        <v>20.2</v>
      </c>
      <c r="I96" s="215">
        <v>20.2</v>
      </c>
      <c r="J96" s="215">
        <v>20.2</v>
      </c>
      <c r="K96" s="215">
        <v>20.2</v>
      </c>
      <c r="L96" s="215">
        <v>20.2</v>
      </c>
      <c r="M96" s="215">
        <v>20.2</v>
      </c>
      <c r="N96" s="215">
        <v>20.2</v>
      </c>
      <c r="O96" s="215">
        <v>20.2</v>
      </c>
      <c r="P96" s="215">
        <v>20.2</v>
      </c>
      <c r="Q96" s="215">
        <v>20.2</v>
      </c>
      <c r="R96" s="215">
        <v>20.2</v>
      </c>
      <c r="S96" s="215"/>
      <c r="T96" s="215"/>
      <c r="U96" s="215"/>
      <c r="V96" s="215"/>
      <c r="W96" s="215"/>
      <c r="X96" s="215"/>
      <c r="Y96" s="215"/>
      <c r="AE96" s="215"/>
    </row>
    <row r="97" spans="1:31" s="4" customFormat="1" ht="12.75">
      <c r="A97" s="128" t="str">
        <f ca="1">OFFSET(PO!J$12,ROW(A97)-ROW($A$12),0)</f>
        <v>Nível 2</v>
      </c>
      <c r="B97" s="130" t="str">
        <f ca="1">IF($A97=0,"",OFFSET(PO!K$12,ROW(B97)-ROW(B$12),0))</f>
        <v>1.13.</v>
      </c>
      <c r="C97" s="127" t="str">
        <f ca="1">IF(OFFSET(PO!N$12,ROW(C97)-ROW(C$12),0)=0,"",OFFSET(PO!N$12,ROW(C97)-ROW(C$12),0))</f>
        <v xml:space="preserve">Estrutura Externa de Madeira </v>
      </c>
      <c r="D97" s="129" t="str">
        <f ca="1">IF(OFFSET(PO!O$12,ROW(D97)-ROW(D$12),0)=0,"",OFFSET(PO!O$12,ROW(D97)-ROW(D$12),0))</f>
        <v/>
      </c>
      <c r="E97" s="165">
        <f ca="1">IF($A97&lt;&gt;"Serviço",0,ROUND(SUMIF($F$9:$Z$9,"&lt;&gt;",$F97:$Z97),15-13*PO!$X$3))</f>
        <v>0</v>
      </c>
      <c r="F97" s="215"/>
      <c r="G97" s="215"/>
      <c r="H97" s="215"/>
      <c r="I97" s="215"/>
      <c r="J97" s="215"/>
      <c r="K97" s="215"/>
      <c r="L97" s="215"/>
      <c r="M97" s="215"/>
      <c r="N97" s="215"/>
      <c r="O97" s="215"/>
      <c r="P97" s="215"/>
      <c r="Q97" s="215"/>
      <c r="R97" s="215"/>
      <c r="S97" s="215"/>
      <c r="T97" s="215"/>
      <c r="U97" s="215"/>
      <c r="V97" s="215"/>
      <c r="W97" s="215"/>
      <c r="X97" s="215"/>
      <c r="Y97" s="215"/>
      <c r="AE97" s="215"/>
    </row>
    <row r="98" spans="1:31" s="4" customFormat="1" ht="26.4">
      <c r="A98" s="128" t="str">
        <f ca="1">OFFSET(PO!J$12,ROW(A98)-ROW($A$12),0)</f>
        <v>Serviço</v>
      </c>
      <c r="B98" s="130" t="str">
        <f ca="1">IF($A98=0,"",OFFSET(PO!K$12,ROW(B98)-ROW(B$12),0))</f>
        <v>1.13.1.</v>
      </c>
      <c r="C98" s="127" t="str">
        <f ca="1">IF(OFFSET(PO!N$12,ROW(C98)-ROW(C$12),0)=0,"",OFFSET(PO!N$12,ROW(C98)-ROW(C$12),0))</f>
        <v xml:space="preserve">PILAR QUADRADO NAO APARELHADO *20 X 20* CM, EM MACARANDUBA, ANGELIM OU EQUIVALENTE DA REGIAO - BRUTA                                                                                                                                                                                                                                                                                                                                                                                                      </v>
      </c>
      <c r="D98" s="129" t="str">
        <f ca="1">IF(OFFSET(PO!O$12,ROW(D98)-ROW(D$12),0)=0,"",OFFSET(PO!O$12,ROW(D98)-ROW(D$12),0))</f>
        <v xml:space="preserve">M     </v>
      </c>
      <c r="E98" s="165">
        <f ca="1">IF($A98&lt;&gt;"Serviço",0,ROUND(SUMIF($F$9:$Z$9,"&lt;&gt;",$F98:$Z98),15-13*PO!$X$3))</f>
        <v>84.5</v>
      </c>
      <c r="F98" s="215">
        <v>6.5</v>
      </c>
      <c r="G98" s="215">
        <v>6.5</v>
      </c>
      <c r="H98" s="215">
        <v>6.5</v>
      </c>
      <c r="I98" s="215">
        <v>6.5</v>
      </c>
      <c r="J98" s="215">
        <v>6.5</v>
      </c>
      <c r="K98" s="215">
        <v>6.5</v>
      </c>
      <c r="L98" s="215">
        <v>6.5</v>
      </c>
      <c r="M98" s="215">
        <v>6.5</v>
      </c>
      <c r="N98" s="215">
        <v>6.5</v>
      </c>
      <c r="O98" s="215">
        <v>6.5</v>
      </c>
      <c r="P98" s="215">
        <v>6.5</v>
      </c>
      <c r="Q98" s="215">
        <v>6.5</v>
      </c>
      <c r="R98" s="215">
        <v>6.5</v>
      </c>
      <c r="S98" s="215"/>
      <c r="T98" s="215"/>
      <c r="U98" s="215"/>
      <c r="V98" s="215"/>
      <c r="W98" s="215"/>
      <c r="X98" s="215"/>
      <c r="Y98" s="215"/>
      <c r="AE98" s="215"/>
    </row>
    <row r="99" spans="1:31" s="4" customFormat="1" ht="12.75">
      <c r="A99" s="128" t="str">
        <f ca="1">OFFSET(PO!J$12,ROW(A99)-ROW($A$12),0)</f>
        <v>Serviço</v>
      </c>
      <c r="B99" s="130" t="str">
        <f ca="1">IF($A99=0,"",OFFSET(PO!K$12,ROW(B99)-ROW(B$12),0))</f>
        <v>1.13.2.</v>
      </c>
      <c r="C99" s="127" t="str">
        <f ca="1">IF(OFFSET(PO!N$12,ROW(C99)-ROW(C$12),0)=0,"",OFFSET(PO!N$12,ROW(C99)-ROW(C$12),0))</f>
        <v xml:space="preserve">Viga em madeira angelim ou equivalente 10x20cm </v>
      </c>
      <c r="D99" s="129" t="str">
        <f ca="1">IF(OFFSET(PO!O$12,ROW(D99)-ROW(D$12),0)=0,"",OFFSET(PO!O$12,ROW(D99)-ROW(D$12),0))</f>
        <v>m</v>
      </c>
      <c r="E99" s="165">
        <f ca="1">IF($A99&lt;&gt;"Serviço",0,ROUND(SUMIF($F$9:$Z$9,"&lt;&gt;",$F99:$Z99),15-13*PO!$X$3))</f>
        <v>104</v>
      </c>
      <c r="F99" s="215">
        <v>8</v>
      </c>
      <c r="G99" s="215">
        <v>8</v>
      </c>
      <c r="H99" s="215">
        <v>8</v>
      </c>
      <c r="I99" s="215">
        <v>8</v>
      </c>
      <c r="J99" s="215">
        <v>8</v>
      </c>
      <c r="K99" s="215">
        <v>8</v>
      </c>
      <c r="L99" s="215">
        <v>8</v>
      </c>
      <c r="M99" s="215">
        <v>8</v>
      </c>
      <c r="N99" s="215">
        <v>8</v>
      </c>
      <c r="O99" s="215">
        <v>8</v>
      </c>
      <c r="P99" s="215">
        <v>8</v>
      </c>
      <c r="Q99" s="215">
        <v>8</v>
      </c>
      <c r="R99" s="215">
        <v>8</v>
      </c>
      <c r="S99" s="215"/>
      <c r="T99" s="215"/>
      <c r="U99" s="215"/>
      <c r="V99" s="215"/>
      <c r="W99" s="215"/>
      <c r="X99" s="215"/>
      <c r="Y99" s="215"/>
      <c r="AE99" s="215"/>
    </row>
    <row r="100" spans="1:31" s="4" customFormat="1" ht="39.6">
      <c r="A100" s="128" t="str">
        <f ca="1">OFFSET(PO!J$12,ROW(A100)-ROW($A$12),0)</f>
        <v>Serviço</v>
      </c>
      <c r="B100" s="130" t="str">
        <f ca="1">IF($A100=0,"",OFFSET(PO!K$12,ROW(B100)-ROW(B$12),0))</f>
        <v>1.13.3.</v>
      </c>
      <c r="C100" s="127" t="str">
        <f ca="1">IF(OFFSET(PO!N$12,ROW(C100)-ROW(C$12),0)=0,"",OFFSET(PO!N$12,ROW(C100)-ROW(C$12),0))</f>
        <v>FABRICAÇÃO E INSTALAÇÃO DE TESOURA INTEIRA EM MADEIRA NÃO APARELHADA, VÃO DE 4 M, PARA TELHA CERÂMICA OU DE CONCRETO, INCLUSO IÇAMENTO. AF_07/2019</v>
      </c>
      <c r="D100" s="129" t="str">
        <f ca="1">IF(OFFSET(PO!O$12,ROW(D100)-ROW(D$12),0)=0,"",OFFSET(PO!O$12,ROW(D100)-ROW(D$12),0))</f>
        <v>UN</v>
      </c>
      <c r="E100" s="165">
        <f ca="1">IF($A100&lt;&gt;"Serviço",0,ROUND(SUMIF($F$9:$Z$9,"&lt;&gt;",$F100:$Z100),15-13*PO!$X$3))</f>
        <v>13</v>
      </c>
      <c r="F100" s="215">
        <v>1</v>
      </c>
      <c r="G100" s="215">
        <v>1</v>
      </c>
      <c r="H100" s="215">
        <v>1</v>
      </c>
      <c r="I100" s="215">
        <v>1</v>
      </c>
      <c r="J100" s="215">
        <v>1</v>
      </c>
      <c r="K100" s="215">
        <v>1</v>
      </c>
      <c r="L100" s="215">
        <v>1</v>
      </c>
      <c r="M100" s="215">
        <v>1</v>
      </c>
      <c r="N100" s="215">
        <v>1</v>
      </c>
      <c r="O100" s="215">
        <v>1</v>
      </c>
      <c r="P100" s="215">
        <v>1</v>
      </c>
      <c r="Q100" s="215">
        <v>1</v>
      </c>
      <c r="R100" s="215">
        <v>1</v>
      </c>
      <c r="S100" s="215"/>
      <c r="T100" s="215"/>
      <c r="U100" s="215"/>
      <c r="V100" s="215"/>
      <c r="W100" s="215"/>
      <c r="X100" s="215"/>
      <c r="Y100" s="215"/>
      <c r="AE100" s="215"/>
    </row>
    <row r="101" spans="1:31" s="4" customFormat="1" ht="26.4">
      <c r="A101" s="128" t="str">
        <f ca="1">OFFSET(PO!J$12,ROW(A101)-ROW($A$12),0)</f>
        <v>Serviço</v>
      </c>
      <c r="B101" s="130" t="str">
        <f ca="1">IF($A101=0,"",OFFSET(PO!K$12,ROW(B101)-ROW(B$12),0))</f>
        <v>1.13.4.</v>
      </c>
      <c r="C101" s="127" t="str">
        <f ca="1">IF(OFFSET(PO!N$12,ROW(C101)-ROW(C$12),0)=0,"",OFFSET(PO!N$12,ROW(C101)-ROW(C$12),0))</f>
        <v xml:space="preserve">CHAPA DE ACO GALVANIZADA BITOLA GSG 16, E = 1,55 MM (12,40 KG/M2)                                                                                                                                                                                                                                                                                                                                                                                                                                         </v>
      </c>
      <c r="D101" s="129" t="str">
        <f ca="1">IF(OFFSET(PO!O$12,ROW(D101)-ROW(D$12),0)=0,"",OFFSET(PO!O$12,ROW(D101)-ROW(D$12),0))</f>
        <v xml:space="preserve">KG    </v>
      </c>
      <c r="E101" s="165">
        <f ca="1">IF($A101&lt;&gt;"Serviço",0,ROUND(SUMIF($F$9:$Z$9,"&lt;&gt;",$F101:$Z101),15-13*PO!$X$3))</f>
        <v>13</v>
      </c>
      <c r="F101" s="215">
        <v>1</v>
      </c>
      <c r="G101" s="215">
        <v>1</v>
      </c>
      <c r="H101" s="215">
        <v>1</v>
      </c>
      <c r="I101" s="215">
        <v>1</v>
      </c>
      <c r="J101" s="215">
        <v>1</v>
      </c>
      <c r="K101" s="215">
        <v>1</v>
      </c>
      <c r="L101" s="215">
        <v>1</v>
      </c>
      <c r="M101" s="215">
        <v>1</v>
      </c>
      <c r="N101" s="215">
        <v>1</v>
      </c>
      <c r="O101" s="215">
        <v>1</v>
      </c>
      <c r="P101" s="215">
        <v>1</v>
      </c>
      <c r="Q101" s="215">
        <v>1</v>
      </c>
      <c r="R101" s="215">
        <v>1</v>
      </c>
      <c r="S101" s="215">
        <v>1</v>
      </c>
      <c r="T101" s="215"/>
      <c r="U101" s="215"/>
      <c r="V101" s="215"/>
      <c r="W101" s="215"/>
      <c r="X101" s="215"/>
      <c r="Y101" s="215"/>
      <c r="AE101" s="215"/>
    </row>
    <row r="102" spans="1:31" s="4" customFormat="1" ht="12.75">
      <c r="A102" s="128" t="str">
        <f ca="1">OFFSET(PO!J$12,ROW(A102)-ROW($A$12),0)</f>
        <v>Nível 2</v>
      </c>
      <c r="B102" s="130" t="str">
        <f ca="1">IF($A102=0,"",OFFSET(PO!K$12,ROW(B102)-ROW(B$12),0))</f>
        <v>1.14.</v>
      </c>
      <c r="C102" s="127" t="str">
        <f ca="1">IF(OFFSET(PO!N$12,ROW(C102)-ROW(C$12),0)=0,"",OFFSET(PO!N$12,ROW(C102)-ROW(C$12),0))</f>
        <v xml:space="preserve">Acabamento e Revestimento </v>
      </c>
      <c r="D102" s="129" t="str">
        <f ca="1">IF(OFFSET(PO!O$12,ROW(D102)-ROW(D$12),0)=0,"",OFFSET(PO!O$12,ROW(D102)-ROW(D$12),0))</f>
        <v/>
      </c>
      <c r="E102" s="165">
        <f ca="1">IF($A102&lt;&gt;"Serviço",0,ROUND(SUMIF($F$9:$Z$9,"&lt;&gt;",$F102:$Z102),15-13*PO!$X$3))</f>
        <v>0</v>
      </c>
      <c r="F102" s="215"/>
      <c r="G102" s="215">
        <v>0.5</v>
      </c>
      <c r="H102" s="215"/>
      <c r="I102" s="215"/>
      <c r="J102" s="215"/>
      <c r="K102" s="215"/>
      <c r="L102" s="215"/>
      <c r="M102" s="215"/>
      <c r="N102" s="215"/>
      <c r="O102" s="215"/>
      <c r="P102" s="215"/>
      <c r="Q102" s="215"/>
      <c r="R102" s="215"/>
      <c r="S102" s="215"/>
      <c r="T102" s="215"/>
      <c r="U102" s="215"/>
      <c r="V102" s="215"/>
      <c r="W102" s="215"/>
      <c r="X102" s="215"/>
      <c r="Y102" s="215"/>
      <c r="AE102" s="215"/>
    </row>
    <row r="103" spans="1:31" s="4" customFormat="1" ht="39.6">
      <c r="A103" s="128" t="str">
        <f ca="1">OFFSET(PO!J$12,ROW(A103)-ROW($A$12),0)</f>
        <v>Serviço</v>
      </c>
      <c r="B103" s="130" t="str">
        <f ca="1">IF($A103=0,"",OFFSET(PO!K$12,ROW(B103)-ROW(B$12),0))</f>
        <v>1.14.1.</v>
      </c>
      <c r="C103" s="127" t="str">
        <f ca="1">IF(OFFSET(PO!N$12,ROW(C103)-ROW(C$12),0)=0,"",OFFSET(PO!N$12,ROW(C103)-ROW(C$12),0))</f>
        <v>REVESTIMENTO CERÂMICO PARA PAREDES INTERNAS COM PLACAS TIPO ESMALTADA EXTRA  DE DIMENSÕES 33X45 CM APLICADAS NA ALTURA INTEIRA DAS PAREDES. AF_02/2023_PE</v>
      </c>
      <c r="D103" s="129" t="str">
        <f ca="1">IF(OFFSET(PO!O$12,ROW(D103)-ROW(D$12),0)=0,"",OFFSET(PO!O$12,ROW(D103)-ROW(D$12),0))</f>
        <v>M2</v>
      </c>
      <c r="E103" s="165">
        <f ca="1">IF($A103&lt;&gt;"Serviço",0,ROUND(SUMIF($F$9:$Z$9,"&lt;&gt;",$F103:$Z103),15-13*PO!$X$3))</f>
        <v>613.08</v>
      </c>
      <c r="F103" s="215">
        <v>47.16</v>
      </c>
      <c r="G103" s="215">
        <v>47.16</v>
      </c>
      <c r="H103" s="215">
        <v>47.16</v>
      </c>
      <c r="I103" s="215">
        <v>47.16</v>
      </c>
      <c r="J103" s="215">
        <v>47.16</v>
      </c>
      <c r="K103" s="215">
        <v>47.16</v>
      </c>
      <c r="L103" s="215">
        <v>47.16</v>
      </c>
      <c r="M103" s="215">
        <v>47.16</v>
      </c>
      <c r="N103" s="215">
        <v>47.16</v>
      </c>
      <c r="O103" s="215">
        <v>47.16</v>
      </c>
      <c r="P103" s="215">
        <v>47.16</v>
      </c>
      <c r="Q103" s="215">
        <v>47.16</v>
      </c>
      <c r="R103" s="215">
        <v>47.16</v>
      </c>
      <c r="S103" s="215"/>
      <c r="T103" s="215"/>
      <c r="U103" s="215"/>
      <c r="V103" s="215"/>
      <c r="W103" s="215"/>
      <c r="X103" s="215"/>
      <c r="Y103" s="215"/>
      <c r="AE103" s="215"/>
    </row>
    <row r="104" spans="1:31" s="4" customFormat="1" ht="39.6">
      <c r="A104" s="128" t="str">
        <f ca="1">OFFSET(PO!J$12,ROW(A104)-ROW($A$12),0)</f>
        <v>Serviço</v>
      </c>
      <c r="B104" s="130" t="str">
        <f ca="1">IF($A104=0,"",OFFSET(PO!K$12,ROW(B104)-ROW(B$12),0))</f>
        <v>1.14.2.</v>
      </c>
      <c r="C104" s="127" t="str">
        <f ca="1">IF(OFFSET(PO!N$12,ROW(C104)-ROW(C$12),0)=0,"",OFFSET(PO!N$12,ROW(C104)-ROW(C$12),0))</f>
        <v>REVESTIMENTO CERÂMICO PARA PAREDES INTERNAS COM PLACAS TIPO ESMALTADA EXTRA DE DIMENSÕES 33X45 CM APLICADAS A MEIA ALTURA DAS PAREDES. AF_02/2023_PE</v>
      </c>
      <c r="D104" s="129" t="str">
        <f ca="1">IF(OFFSET(PO!O$12,ROW(D104)-ROW(D$12),0)=0,"",OFFSET(PO!O$12,ROW(D104)-ROW(D$12),0))</f>
        <v>M2</v>
      </c>
      <c r="E104" s="165">
        <f ca="1">IF($A104&lt;&gt;"Serviço",0,ROUND(SUMIF($F$9:$Z$9,"&lt;&gt;",$F104:$Z104),15-13*PO!$X$3))</f>
        <v>70.72</v>
      </c>
      <c r="F104" s="215">
        <v>5.44</v>
      </c>
      <c r="G104" s="215">
        <v>5.44</v>
      </c>
      <c r="H104" s="215">
        <v>5.44</v>
      </c>
      <c r="I104" s="215">
        <v>5.44</v>
      </c>
      <c r="J104" s="215">
        <v>5.44</v>
      </c>
      <c r="K104" s="215">
        <v>5.44</v>
      </c>
      <c r="L104" s="215">
        <v>5.44</v>
      </c>
      <c r="M104" s="215">
        <v>5.44</v>
      </c>
      <c r="N104" s="215">
        <v>5.44</v>
      </c>
      <c r="O104" s="215">
        <v>5.44</v>
      </c>
      <c r="P104" s="215">
        <v>5.44</v>
      </c>
      <c r="Q104" s="215">
        <v>5.44</v>
      </c>
      <c r="R104" s="215">
        <v>5.44</v>
      </c>
      <c r="S104" s="215"/>
      <c r="T104" s="215"/>
      <c r="U104" s="215"/>
      <c r="V104" s="215"/>
      <c r="W104" s="215"/>
      <c r="X104" s="215"/>
      <c r="Y104" s="215"/>
      <c r="AE104" s="215"/>
    </row>
    <row r="105" spans="1:31" s="4" customFormat="1" ht="26.4">
      <c r="A105" s="128" t="str">
        <f ca="1">OFFSET(PO!J$12,ROW(A105)-ROW($A$12),0)</f>
        <v>Serviço</v>
      </c>
      <c r="B105" s="130" t="str">
        <f ca="1">IF($A105=0,"",OFFSET(PO!K$12,ROW(B105)-ROW(B$12),0))</f>
        <v>1.14.3.</v>
      </c>
      <c r="C105" s="127" t="str">
        <f ca="1">IF(OFFSET(PO!N$12,ROW(C105)-ROW(C$12),0)=0,"",OFFSET(PO!N$12,ROW(C105)-ROW(C$12),0))</f>
        <v xml:space="preserve">SOLEIRA/ PEITORIL EM MARMORE, POLIDO, BRANCO COMUM, L= *15* CM, E=  *2* CM,  CORTE RETO                                                                                                                                                                                                                                                                                                                                                                                                                   </v>
      </c>
      <c r="D105" s="129" t="str">
        <f ca="1">IF(OFFSET(PO!O$12,ROW(D105)-ROW(D$12),0)=0,"",OFFSET(PO!O$12,ROW(D105)-ROW(D$12),0))</f>
        <v xml:space="preserve">M     </v>
      </c>
      <c r="E105" s="165">
        <f ca="1">IF($A105&lt;&gt;"Serviço",0,ROUND(SUMIF($F$9:$Z$9,"&lt;&gt;",$F105:$Z105),15-13*PO!$X$3))</f>
        <v>206.7</v>
      </c>
      <c r="F105" s="215">
        <v>15.9</v>
      </c>
      <c r="G105" s="215">
        <v>15.9</v>
      </c>
      <c r="H105" s="215">
        <v>15.9</v>
      </c>
      <c r="I105" s="215">
        <v>15.9</v>
      </c>
      <c r="J105" s="215">
        <v>15.9</v>
      </c>
      <c r="K105" s="215">
        <v>15.9</v>
      </c>
      <c r="L105" s="215">
        <v>15.9</v>
      </c>
      <c r="M105" s="215">
        <v>15.9</v>
      </c>
      <c r="N105" s="215">
        <v>15.9</v>
      </c>
      <c r="O105" s="215">
        <v>15.9</v>
      </c>
      <c r="P105" s="215">
        <v>15.9</v>
      </c>
      <c r="Q105" s="215">
        <v>15.9</v>
      </c>
      <c r="R105" s="215">
        <v>15.9</v>
      </c>
      <c r="S105" s="215"/>
      <c r="T105" s="215"/>
      <c r="U105" s="215"/>
      <c r="V105" s="215"/>
      <c r="W105" s="215"/>
      <c r="X105" s="215"/>
      <c r="Y105" s="215"/>
      <c r="AE105" s="215"/>
    </row>
    <row r="106" spans="1:31" s="4" customFormat="1" ht="12.75">
      <c r="A106" s="128" t="str">
        <f ca="1">OFFSET(PO!J$12,ROW(A106)-ROW($A$12),0)</f>
        <v>Nível 2</v>
      </c>
      <c r="B106" s="130" t="str">
        <f ca="1">IF($A106=0,"",OFFSET(PO!K$12,ROW(B106)-ROW(B$12),0))</f>
        <v>1.15.</v>
      </c>
      <c r="C106" s="127" t="str">
        <f ca="1">IF(OFFSET(PO!N$12,ROW(C106)-ROW(C$12),0)=0,"",OFFSET(PO!N$12,ROW(C106)-ROW(C$12),0))</f>
        <v xml:space="preserve">Pintura Estrutura e Cobertura </v>
      </c>
      <c r="D106" s="129" t="str">
        <f ca="1">IF(OFFSET(PO!O$12,ROW(D106)-ROW(D$12),0)=0,"",OFFSET(PO!O$12,ROW(D106)-ROW(D$12),0))</f>
        <v/>
      </c>
      <c r="E106" s="165">
        <f ca="1">IF($A106&lt;&gt;"Serviço",0,ROUND(SUMIF($F$9:$Z$9,"&lt;&gt;",$F106:$Z106),15-13*PO!$X$3))</f>
        <v>0</v>
      </c>
      <c r="F106" s="215"/>
      <c r="G106" s="215"/>
      <c r="H106" s="215"/>
      <c r="I106" s="215"/>
      <c r="J106" s="215"/>
      <c r="K106" s="215"/>
      <c r="L106" s="215"/>
      <c r="M106" s="215"/>
      <c r="N106" s="215"/>
      <c r="O106" s="215"/>
      <c r="P106" s="215"/>
      <c r="Q106" s="215"/>
      <c r="R106" s="215"/>
      <c r="S106" s="215"/>
      <c r="T106" s="215"/>
      <c r="U106" s="215"/>
      <c r="V106" s="215"/>
      <c r="W106" s="215"/>
      <c r="X106" s="215"/>
      <c r="Y106" s="215"/>
      <c r="AE106" s="215"/>
    </row>
    <row r="107" spans="1:31" s="4" customFormat="1" ht="26.4">
      <c r="A107" s="128" t="str">
        <f ca="1">OFFSET(PO!J$12,ROW(A107)-ROW($A$12),0)</f>
        <v>Serviço</v>
      </c>
      <c r="B107" s="130" t="str">
        <f ca="1">IF($A107=0,"",OFFSET(PO!K$12,ROW(B107)-ROW(B$12),0))</f>
        <v>1.15.1.</v>
      </c>
      <c r="C107" s="127" t="str">
        <f ca="1">IF(OFFSET(PO!N$12,ROW(C107)-ROW(C$12),0)=0,"",OFFSET(PO!N$12,ROW(C107)-ROW(C$12),0))</f>
        <v>FUNDO SELADOR ACRÍLICO, APLICAÇÃO MANUAL EM PAREDE, UMA DEMÃO. AF_04/2023</v>
      </c>
      <c r="D107" s="129" t="str">
        <f ca="1">IF(OFFSET(PO!O$12,ROW(D107)-ROW(D$12),0)=0,"",OFFSET(PO!O$12,ROW(D107)-ROW(D$12),0))</f>
        <v>M2</v>
      </c>
      <c r="E107" s="165">
        <f ca="1">IF($A107&lt;&gt;"Serviço",0,ROUND(SUMIF($F$9:$Z$9,"&lt;&gt;",$F107:$Z107),15-13*PO!$X$3))</f>
        <v>3825.64</v>
      </c>
      <c r="F107" s="215">
        <v>294.28</v>
      </c>
      <c r="G107" s="215">
        <v>294.28</v>
      </c>
      <c r="H107" s="215">
        <v>294.28</v>
      </c>
      <c r="I107" s="215">
        <v>294.28</v>
      </c>
      <c r="J107" s="215">
        <v>294.28</v>
      </c>
      <c r="K107" s="215">
        <v>294.28</v>
      </c>
      <c r="L107" s="215">
        <v>294.28</v>
      </c>
      <c r="M107" s="215">
        <v>294.28</v>
      </c>
      <c r="N107" s="215">
        <v>294.28</v>
      </c>
      <c r="O107" s="215">
        <v>294.28</v>
      </c>
      <c r="P107" s="215">
        <v>294.28</v>
      </c>
      <c r="Q107" s="215">
        <v>294.28</v>
      </c>
      <c r="R107" s="215">
        <v>294.28</v>
      </c>
      <c r="S107" s="215"/>
      <c r="T107" s="215"/>
      <c r="U107" s="215"/>
      <c r="V107" s="215"/>
      <c r="W107" s="215"/>
      <c r="X107" s="215"/>
      <c r="Y107" s="215"/>
      <c r="AE107" s="215"/>
    </row>
    <row r="108" spans="1:31" s="4" customFormat="1" ht="26.4">
      <c r="A108" s="128" t="str">
        <f ca="1">OFFSET(PO!J$12,ROW(A108)-ROW($A$12),0)</f>
        <v>Serviço</v>
      </c>
      <c r="B108" s="130" t="str">
        <f ca="1">IF($A108=0,"",OFFSET(PO!K$12,ROW(B108)-ROW(B$12),0))</f>
        <v>1.15.2.</v>
      </c>
      <c r="C108" s="127" t="str">
        <f ca="1">IF(OFFSET(PO!N$12,ROW(C108)-ROW(C$12),0)=0,"",OFFSET(PO!N$12,ROW(C108)-ROW(C$12),0))</f>
        <v>FUNDO SELADOR ACRÍLICO, APLICAÇÃO MANUAL EM TETO, UMA DEMÃO. AF_04/2023</v>
      </c>
      <c r="D108" s="129" t="str">
        <f ca="1">IF(OFFSET(PO!O$12,ROW(D108)-ROW(D$12),0)=0,"",OFFSET(PO!O$12,ROW(D108)-ROW(D$12),0))</f>
        <v>M2</v>
      </c>
      <c r="E108" s="165">
        <f ca="1">IF($A108&lt;&gt;"Serviço",0,ROUND(SUMIF($F$9:$Z$9,"&lt;&gt;",$F108:$Z108),15-13*PO!$X$3))</f>
        <v>185.12</v>
      </c>
      <c r="F108" s="215">
        <v>14.24</v>
      </c>
      <c r="G108" s="215">
        <v>14.24</v>
      </c>
      <c r="H108" s="215">
        <v>14.24</v>
      </c>
      <c r="I108" s="215">
        <v>14.24</v>
      </c>
      <c r="J108" s="215">
        <v>14.24</v>
      </c>
      <c r="K108" s="215">
        <v>14.24</v>
      </c>
      <c r="L108" s="215">
        <v>14.24</v>
      </c>
      <c r="M108" s="215">
        <v>14.24</v>
      </c>
      <c r="N108" s="215">
        <v>14.24</v>
      </c>
      <c r="O108" s="215">
        <v>14.24</v>
      </c>
      <c r="P108" s="215">
        <v>14.24</v>
      </c>
      <c r="Q108" s="215">
        <v>14.24</v>
      </c>
      <c r="R108" s="215">
        <v>14.24</v>
      </c>
      <c r="S108" s="215"/>
      <c r="T108" s="215"/>
      <c r="U108" s="215"/>
      <c r="V108" s="215"/>
      <c r="W108" s="215"/>
      <c r="X108" s="215"/>
      <c r="Y108" s="215"/>
      <c r="AE108" s="215"/>
    </row>
    <row r="109" spans="1:31" s="4" customFormat="1" ht="26.4">
      <c r="A109" s="128" t="str">
        <f ca="1">OFFSET(PO!J$12,ROW(A109)-ROW($A$12),0)</f>
        <v>Serviço</v>
      </c>
      <c r="B109" s="130" t="str">
        <f ca="1">IF($A109=0,"",OFFSET(PO!K$12,ROW(B109)-ROW(B$12),0))</f>
        <v>1.15.3.</v>
      </c>
      <c r="C109" s="127" t="str">
        <f ca="1">IF(OFFSET(PO!N$12,ROW(C109)-ROW(C$12),0)=0,"",OFFSET(PO!N$12,ROW(C109)-ROW(C$12),0))</f>
        <v>PINTURA LÁTEX ACRÍLICA PREMIUM, APLICAÇÃO MANUAL EM PAREDES, DUAS DEMÃOS. AF_04/2023</v>
      </c>
      <c r="D109" s="129" t="str">
        <f ca="1">IF(OFFSET(PO!O$12,ROW(D109)-ROW(D$12),0)=0,"",OFFSET(PO!O$12,ROW(D109)-ROW(D$12),0))</f>
        <v>M2</v>
      </c>
      <c r="E109" s="165">
        <f ca="1">IF($A109&lt;&gt;"Serviço",0,ROUND(SUMIF($F$9:$Z$9,"&lt;&gt;",$F109:$Z109),15-13*PO!$X$3))</f>
        <v>3825.64</v>
      </c>
      <c r="F109" s="215">
        <v>294.28</v>
      </c>
      <c r="G109" s="215">
        <v>294.28</v>
      </c>
      <c r="H109" s="215">
        <v>294.28</v>
      </c>
      <c r="I109" s="215">
        <v>294.28</v>
      </c>
      <c r="J109" s="215">
        <v>294.28</v>
      </c>
      <c r="K109" s="215">
        <v>294.28</v>
      </c>
      <c r="L109" s="215">
        <v>294.28</v>
      </c>
      <c r="M109" s="215">
        <v>294.28</v>
      </c>
      <c r="N109" s="215">
        <v>294.28</v>
      </c>
      <c r="O109" s="215">
        <v>294.28</v>
      </c>
      <c r="P109" s="215">
        <v>294.28</v>
      </c>
      <c r="Q109" s="215">
        <v>294.28</v>
      </c>
      <c r="R109" s="215">
        <v>294.28</v>
      </c>
      <c r="S109" s="215"/>
      <c r="T109" s="215"/>
      <c r="U109" s="215"/>
      <c r="V109" s="215"/>
      <c r="W109" s="215"/>
      <c r="X109" s="215"/>
      <c r="Y109" s="215"/>
      <c r="AE109" s="215"/>
    </row>
    <row r="110" spans="1:31" s="4" customFormat="1" ht="26.4">
      <c r="A110" s="128" t="str">
        <f ca="1">OFFSET(PO!J$12,ROW(A110)-ROW($A$12),0)</f>
        <v>Serviço</v>
      </c>
      <c r="B110" s="130" t="str">
        <f ca="1">IF($A110=0,"",OFFSET(PO!K$12,ROW(B110)-ROW(B$12),0))</f>
        <v>1.15.4.</v>
      </c>
      <c r="C110" s="127" t="str">
        <f ca="1">IF(OFFSET(PO!N$12,ROW(C110)-ROW(C$12),0)=0,"",OFFSET(PO!N$12,ROW(C110)-ROW(C$12),0))</f>
        <v>PINTURA LÁTEX ACRÍLICA PREMIUM, APLICAÇÃO MANUAL EM TETO, DUAS DEMÃOS. AF_04/2023</v>
      </c>
      <c r="D110" s="129" t="str">
        <f ca="1">IF(OFFSET(PO!O$12,ROW(D110)-ROW(D$12),0)=0,"",OFFSET(PO!O$12,ROW(D110)-ROW(D$12),0))</f>
        <v>M2</v>
      </c>
      <c r="E110" s="165">
        <f ca="1">IF($A110&lt;&gt;"Serviço",0,ROUND(SUMIF($F$9:$Z$9,"&lt;&gt;",$F110:$Z110),15-13*PO!$X$3))</f>
        <v>185.12</v>
      </c>
      <c r="F110" s="215">
        <v>14.24</v>
      </c>
      <c r="G110" s="215">
        <v>14.24</v>
      </c>
      <c r="H110" s="215">
        <v>14.24</v>
      </c>
      <c r="I110" s="215">
        <v>14.24</v>
      </c>
      <c r="J110" s="215">
        <v>14.24</v>
      </c>
      <c r="K110" s="215">
        <v>14.24</v>
      </c>
      <c r="L110" s="215">
        <v>14.24</v>
      </c>
      <c r="M110" s="215">
        <v>14.24</v>
      </c>
      <c r="N110" s="215">
        <v>14.24</v>
      </c>
      <c r="O110" s="215">
        <v>14.24</v>
      </c>
      <c r="P110" s="215">
        <v>14.24</v>
      </c>
      <c r="Q110" s="215">
        <v>14.24</v>
      </c>
      <c r="R110" s="215">
        <v>14.24</v>
      </c>
      <c r="S110" s="215"/>
      <c r="T110" s="215"/>
      <c r="U110" s="215"/>
      <c r="V110" s="215"/>
      <c r="W110" s="215"/>
      <c r="X110" s="215"/>
      <c r="Y110" s="215"/>
      <c r="AE110" s="215"/>
    </row>
    <row r="111" spans="1:31" s="4" customFormat="1" ht="26.4">
      <c r="A111" s="128" t="str">
        <f ca="1">OFFSET(PO!J$12,ROW(A111)-ROW($A$12),0)</f>
        <v>Serviço</v>
      </c>
      <c r="B111" s="130" t="str">
        <f ca="1">IF($A111=0,"",OFFSET(PO!K$12,ROW(B111)-ROW(B$12),0))</f>
        <v>1.15.5.</v>
      </c>
      <c r="C111" s="127" t="str">
        <f ca="1">IF(OFFSET(PO!N$12,ROW(C111)-ROW(C$12),0)=0,"",OFFSET(PO!N$12,ROW(C111)-ROW(C$12),0))</f>
        <v>LIXAMENTO DE MADEIRA PARA APLICAÇÃO DE FUNDO OU PINTURA. AF_01/2021</v>
      </c>
      <c r="D111" s="129" t="str">
        <f ca="1">IF(OFFSET(PO!O$12,ROW(D111)-ROW(D$12),0)=0,"",OFFSET(PO!O$12,ROW(D111)-ROW(D$12),0))</f>
        <v>M2</v>
      </c>
      <c r="E111" s="165">
        <f ca="1">IF($A111&lt;&gt;"Serviço",0,ROUND(SUMIF($F$9:$Z$9,"&lt;&gt;",$F111:$Z111),15-13*PO!$X$3))</f>
        <v>3728.79</v>
      </c>
      <c r="F111" s="215">
        <v>286.83</v>
      </c>
      <c r="G111" s="215">
        <v>286.83</v>
      </c>
      <c r="H111" s="215">
        <v>286.83</v>
      </c>
      <c r="I111" s="215">
        <v>286.83</v>
      </c>
      <c r="J111" s="215">
        <v>286.83</v>
      </c>
      <c r="K111" s="215">
        <v>286.83</v>
      </c>
      <c r="L111" s="215">
        <v>286.83</v>
      </c>
      <c r="M111" s="215">
        <v>286.83</v>
      </c>
      <c r="N111" s="215">
        <v>286.83</v>
      </c>
      <c r="O111" s="215">
        <v>286.83</v>
      </c>
      <c r="P111" s="215">
        <v>286.83</v>
      </c>
      <c r="Q111" s="215">
        <v>286.83</v>
      </c>
      <c r="R111" s="215">
        <v>286.83</v>
      </c>
      <c r="S111" s="215"/>
      <c r="T111" s="215"/>
      <c r="U111" s="215"/>
      <c r="V111" s="215"/>
      <c r="W111" s="215"/>
      <c r="X111" s="215"/>
      <c r="Y111" s="215"/>
      <c r="AE111" s="215"/>
    </row>
    <row r="112" spans="1:31" s="4" customFormat="1" ht="26.4">
      <c r="A112" s="128" t="str">
        <f ca="1">OFFSET(PO!J$12,ROW(A112)-ROW($A$12),0)</f>
        <v>Serviço</v>
      </c>
      <c r="B112" s="130" t="str">
        <f ca="1">IF($A112=0,"",OFFSET(PO!K$12,ROW(B112)-ROW(B$12),0))</f>
        <v>1.15.6.</v>
      </c>
      <c r="C112" s="127" t="str">
        <f ca="1">IF(OFFSET(PO!N$12,ROW(C112)-ROW(C$12),0)=0,"",OFFSET(PO!N$12,ROW(C112)-ROW(C$12),0))</f>
        <v>PINTURA VERNIZ (INCOLOR) ALQUÍDICO EM MADEIRA, USO INTERNO, 2 DEMÃOS. AF_01/2021</v>
      </c>
      <c r="D112" s="129" t="str">
        <f ca="1">IF(OFFSET(PO!O$12,ROW(D112)-ROW(D$12),0)=0,"",OFFSET(PO!O$12,ROW(D112)-ROW(D$12),0))</f>
        <v>M2</v>
      </c>
      <c r="E112" s="165">
        <f ca="1">IF($A112&lt;&gt;"Serviço",0,ROUND(SUMIF($F$9:$Z$9,"&lt;&gt;",$F112:$Z112),15-13*PO!$X$3))</f>
        <v>3728.79</v>
      </c>
      <c r="F112" s="215">
        <v>286.83</v>
      </c>
      <c r="G112" s="215">
        <v>286.83</v>
      </c>
      <c r="H112" s="215">
        <v>286.83</v>
      </c>
      <c r="I112" s="215">
        <v>286.83</v>
      </c>
      <c r="J112" s="215">
        <v>286.83</v>
      </c>
      <c r="K112" s="215">
        <v>286.83</v>
      </c>
      <c r="L112" s="215">
        <v>286.83</v>
      </c>
      <c r="M112" s="215">
        <v>286.83</v>
      </c>
      <c r="N112" s="215">
        <v>286.83</v>
      </c>
      <c r="O112" s="215">
        <v>286.83</v>
      </c>
      <c r="P112" s="215">
        <v>286.83</v>
      </c>
      <c r="Q112" s="215">
        <v>286.83</v>
      </c>
      <c r="R112" s="215">
        <v>286.83</v>
      </c>
      <c r="S112" s="215"/>
      <c r="T112" s="215"/>
      <c r="U112" s="215"/>
      <c r="V112" s="215"/>
      <c r="W112" s="215"/>
      <c r="X112" s="215"/>
      <c r="Y112" s="215"/>
      <c r="AE112" s="215"/>
    </row>
    <row r="113" spans="1:31" s="4" customFormat="1" ht="12.75">
      <c r="A113" s="128" t="str">
        <f ca="1">OFFSET(PO!J$12,ROW(A113)-ROW($A$12),0)</f>
        <v>Nível 2</v>
      </c>
      <c r="B113" s="130" t="str">
        <f ca="1">IF($A113=0,"",OFFSET(PO!K$12,ROW(B113)-ROW(B$12),0))</f>
        <v>1.16.</v>
      </c>
      <c r="C113" s="127" t="str">
        <f ca="1">IF(OFFSET(PO!N$12,ROW(C113)-ROW(C$12),0)=0,"",OFFSET(PO!N$12,ROW(C113)-ROW(C$12),0))</f>
        <v>Esquadrias</v>
      </c>
      <c r="D113" s="129" t="str">
        <f ca="1">IF(OFFSET(PO!O$12,ROW(D113)-ROW(D$12),0)=0,"",OFFSET(PO!O$12,ROW(D113)-ROW(D$12),0))</f>
        <v/>
      </c>
      <c r="E113" s="165">
        <f ca="1">IF($A113&lt;&gt;"Serviço",0,ROUND(SUMIF($F$9:$Z$9,"&lt;&gt;",$F113:$Z113),15-13*PO!$X$3))</f>
        <v>0</v>
      </c>
      <c r="F113" s="215"/>
      <c r="G113" s="215"/>
      <c r="H113" s="215"/>
      <c r="I113" s="215"/>
      <c r="J113" s="215"/>
      <c r="K113" s="215"/>
      <c r="L113" s="215"/>
      <c r="M113" s="215"/>
      <c r="N113" s="215"/>
      <c r="O113" s="215"/>
      <c r="P113" s="215"/>
      <c r="Q113" s="215"/>
      <c r="R113" s="215"/>
      <c r="S113" s="215"/>
      <c r="T113" s="215"/>
      <c r="U113" s="215"/>
      <c r="V113" s="215"/>
      <c r="W113" s="215"/>
      <c r="X113" s="215"/>
      <c r="Y113" s="215"/>
      <c r="AE113" s="215"/>
    </row>
    <row r="114" spans="1:31" s="4" customFormat="1" ht="66">
      <c r="A114" s="128" t="str">
        <f ca="1">OFFSET(PO!J$12,ROW(A114)-ROW($A$12),0)</f>
        <v>Serviço</v>
      </c>
      <c r="B114" s="130" t="str">
        <f ca="1">IF($A114=0,"",OFFSET(PO!K$12,ROW(B114)-ROW(B$12),0))</f>
        <v>1.16.1.</v>
      </c>
      <c r="C114" s="127" t="str">
        <f ca="1">IF(OFFSET(PO!N$12,ROW(C114)-ROW(C$12),0)=0,"",OFFSET(PO!N$12,ROW(C114)-ROW(C$12),0))</f>
        <v>KIT DE PORTA DE MADEIRA PARA PINTURA, SEMI-OCA (LEVE OU MÉDIA), PADRÃO MÉDIO, 80X210CM, ESPESSURA DE 3,5CM, ITENS INCLUSOS: DOBRADIÇAS, MONTAGEM E INSTALAÇÃO DO BATENTE, FECHADURA COM EXECUÇÃO DO FURO - FORNECIMENTO E INSTALAÇÃO. AF_12/2019</v>
      </c>
      <c r="D114" s="129" t="str">
        <f ca="1">IF(OFFSET(PO!O$12,ROW(D114)-ROW(D$12),0)=0,"",OFFSET(PO!O$12,ROW(D114)-ROW(D$12),0))</f>
        <v>UN</v>
      </c>
      <c r="E114" s="165">
        <f ca="1">IF($A114&lt;&gt;"Serviço",0,ROUND(SUMIF($F$9:$Z$9,"&lt;&gt;",$F114:$Z114),15-13*PO!$X$3))</f>
        <v>13</v>
      </c>
      <c r="F114" s="215">
        <v>1</v>
      </c>
      <c r="G114" s="215">
        <v>1</v>
      </c>
      <c r="H114" s="215">
        <v>1</v>
      </c>
      <c r="I114" s="215">
        <v>1</v>
      </c>
      <c r="J114" s="215">
        <v>1</v>
      </c>
      <c r="K114" s="215">
        <v>1</v>
      </c>
      <c r="L114" s="215">
        <v>1</v>
      </c>
      <c r="M114" s="215">
        <v>1</v>
      </c>
      <c r="N114" s="215">
        <v>1</v>
      </c>
      <c r="O114" s="215">
        <v>1</v>
      </c>
      <c r="P114" s="215">
        <v>1</v>
      </c>
      <c r="Q114" s="215">
        <v>1</v>
      </c>
      <c r="R114" s="215">
        <v>1</v>
      </c>
      <c r="S114" s="215"/>
      <c r="T114" s="215"/>
      <c r="U114" s="215"/>
      <c r="V114" s="215"/>
      <c r="W114" s="215"/>
      <c r="X114" s="215"/>
      <c r="Y114" s="215"/>
      <c r="AE114" s="215"/>
    </row>
    <row r="115" spans="1:31" s="4" customFormat="1" ht="26.4">
      <c r="A115" s="128" t="str">
        <f ca="1">OFFSET(PO!J$12,ROW(A115)-ROW($A$12),0)</f>
        <v>Serviço</v>
      </c>
      <c r="B115" s="130" t="str">
        <f ca="1">IF($A115=0,"",OFFSET(PO!K$12,ROW(B115)-ROW(B$12),0))</f>
        <v>1.16.2.</v>
      </c>
      <c r="C115" s="127" t="str">
        <f ca="1">IF(OFFSET(PO!N$12,ROW(C115)-ROW(C$12),0)=0,"",OFFSET(PO!N$12,ROW(C115)-ROW(C$12),0))</f>
        <v xml:space="preserve">Porta de madeira de correr 100x210cm, semi oca, para pintura, com trilho, roldana, puxador e fechadura - Fornecimento e Instalação </v>
      </c>
      <c r="D115" s="129" t="str">
        <f ca="1">IF(OFFSET(PO!O$12,ROW(D115)-ROW(D$12),0)=0,"",OFFSET(PO!O$12,ROW(D115)-ROW(D$12),0))</f>
        <v>UNIDADE</v>
      </c>
      <c r="E115" s="165">
        <f ca="1">IF($A115&lt;&gt;"Serviço",0,ROUND(SUMIF($F$9:$Z$9,"&lt;&gt;",$F115:$Z115),15-13*PO!$X$3))</f>
        <v>26</v>
      </c>
      <c r="F115" s="215">
        <v>2</v>
      </c>
      <c r="G115" s="215">
        <v>2</v>
      </c>
      <c r="H115" s="215">
        <v>2</v>
      </c>
      <c r="I115" s="215">
        <v>2</v>
      </c>
      <c r="J115" s="215">
        <v>2</v>
      </c>
      <c r="K115" s="215">
        <v>2</v>
      </c>
      <c r="L115" s="215">
        <v>2</v>
      </c>
      <c r="M115" s="215">
        <v>2</v>
      </c>
      <c r="N115" s="215">
        <v>2</v>
      </c>
      <c r="O115" s="215">
        <v>2</v>
      </c>
      <c r="P115" s="215">
        <v>2</v>
      </c>
      <c r="Q115" s="215">
        <v>2</v>
      </c>
      <c r="R115" s="215">
        <v>2</v>
      </c>
      <c r="S115" s="215"/>
      <c r="T115" s="215"/>
      <c r="U115" s="215"/>
      <c r="V115" s="215"/>
      <c r="W115" s="215"/>
      <c r="X115" s="215"/>
      <c r="Y115" s="215"/>
      <c r="AE115" s="215"/>
    </row>
    <row r="116" spans="1:31" s="4" customFormat="1" ht="26.4">
      <c r="A116" s="128" t="str">
        <f ca="1">OFFSET(PO!J$12,ROW(A116)-ROW($A$12),0)</f>
        <v>Serviço</v>
      </c>
      <c r="B116" s="130" t="str">
        <f ca="1">IF($A116=0,"",OFFSET(PO!K$12,ROW(B116)-ROW(B$12),0))</f>
        <v>1.16.3.</v>
      </c>
      <c r="C116" s="127" t="str">
        <f ca="1">IF(OFFSET(PO!N$12,ROW(C116)-ROW(C$12),0)=0,"",OFFSET(PO!N$12,ROW(C116)-ROW(C$12),0))</f>
        <v xml:space="preserve">CHAPA METÁLICA (ALUMÍNIO) 1,00 X 0,40M, ESP. 1MM PARA PORTAS DE CORRER </v>
      </c>
      <c r="D116" s="129" t="str">
        <f ca="1">IF(OFFSET(PO!O$12,ROW(D116)-ROW(D$12),0)=0,"",OFFSET(PO!O$12,ROW(D116)-ROW(D$12),0))</f>
        <v>M2</v>
      </c>
      <c r="E116" s="165">
        <f ca="1">IF($A116&lt;&gt;"Serviço",0,ROUND(SUMIF($F$9:$Z$9,"&lt;&gt;",$F116:$Z116),15-13*PO!$X$3))</f>
        <v>20.8</v>
      </c>
      <c r="F116" s="215">
        <v>1.6</v>
      </c>
      <c r="G116" s="215">
        <v>1.6</v>
      </c>
      <c r="H116" s="215">
        <v>1.6</v>
      </c>
      <c r="I116" s="215">
        <v>1.6</v>
      </c>
      <c r="J116" s="215">
        <v>1.6</v>
      </c>
      <c r="K116" s="215">
        <v>1.6</v>
      </c>
      <c r="L116" s="215">
        <v>1.6</v>
      </c>
      <c r="M116" s="215">
        <v>1.6</v>
      </c>
      <c r="N116" s="215">
        <v>1.6</v>
      </c>
      <c r="O116" s="215">
        <v>1.6</v>
      </c>
      <c r="P116" s="215">
        <v>1.6</v>
      </c>
      <c r="Q116" s="215">
        <v>1.6</v>
      </c>
      <c r="R116" s="215">
        <v>1.6</v>
      </c>
      <c r="S116" s="215"/>
      <c r="T116" s="215"/>
      <c r="U116" s="215"/>
      <c r="V116" s="215"/>
      <c r="W116" s="215"/>
      <c r="X116" s="215"/>
      <c r="Y116" s="215"/>
      <c r="AE116" s="215"/>
    </row>
    <row r="117" spans="1:31" s="4" customFormat="1" ht="39.6">
      <c r="A117" s="128" t="str">
        <f ca="1">OFFSET(PO!J$12,ROW(A117)-ROW($A$12),0)</f>
        <v>Serviço</v>
      </c>
      <c r="B117" s="130" t="str">
        <f ca="1">IF($A117=0,"",OFFSET(PO!K$12,ROW(B117)-ROW(B$12),0))</f>
        <v>1.16.4.</v>
      </c>
      <c r="C117" s="127" t="str">
        <f ca="1">IF(OFFSET(PO!N$12,ROW(C117)-ROW(C$12),0)=0,"",OFFSET(PO!N$12,ROW(C117)-ROW(C$12),0))</f>
        <v>PORTA EM ALUMÍNIO DE ABRIR TIPO VENEZIANA COM GUARNIÇÃO, FIXAÇÃO COM PARAFUSOS - FORNECIMENTO E INSTALAÇÃO. AF_12/2019</v>
      </c>
      <c r="D117" s="129" t="str">
        <f ca="1">IF(OFFSET(PO!O$12,ROW(D117)-ROW(D$12),0)=0,"",OFFSET(PO!O$12,ROW(D117)-ROW(D$12),0))</f>
        <v>M2</v>
      </c>
      <c r="E117" s="165">
        <f ca="1">IF($A117&lt;&gt;"Serviço",0,ROUND(SUMIF($F$9:$Z$9,"&lt;&gt;",$F117:$Z117),15-13*PO!$X$3))</f>
        <v>27.3</v>
      </c>
      <c r="F117" s="215">
        <v>2.1</v>
      </c>
      <c r="G117" s="215">
        <v>2.1</v>
      </c>
      <c r="H117" s="215">
        <v>2.1</v>
      </c>
      <c r="I117" s="215">
        <v>2.1</v>
      </c>
      <c r="J117" s="215">
        <v>2.1</v>
      </c>
      <c r="K117" s="215">
        <v>2.1</v>
      </c>
      <c r="L117" s="215">
        <v>2.1</v>
      </c>
      <c r="M117" s="215">
        <v>2.1</v>
      </c>
      <c r="N117" s="215">
        <v>2.1</v>
      </c>
      <c r="O117" s="215">
        <v>2.1</v>
      </c>
      <c r="P117" s="215">
        <v>2.1</v>
      </c>
      <c r="Q117" s="215">
        <v>2.1</v>
      </c>
      <c r="R117" s="215">
        <v>2.1</v>
      </c>
      <c r="S117" s="215"/>
      <c r="T117" s="215"/>
      <c r="U117" s="215"/>
      <c r="V117" s="215"/>
      <c r="W117" s="215"/>
      <c r="X117" s="215"/>
      <c r="Y117" s="215"/>
      <c r="AE117" s="215"/>
    </row>
    <row r="118" spans="1:31" s="4" customFormat="1" ht="26.4">
      <c r="A118" s="128" t="str">
        <f ca="1">OFFSET(PO!J$12,ROW(A118)-ROW($A$12),0)</f>
        <v>Serviço</v>
      </c>
      <c r="B118" s="130" t="str">
        <f ca="1">IF($A118=0,"",OFFSET(PO!K$12,ROW(B118)-ROW(B$12),0))</f>
        <v>1.16.5.</v>
      </c>
      <c r="C118" s="127" t="str">
        <f ca="1">IF(OFFSET(PO!N$12,ROW(C118)-ROW(C$12),0)=0,"",OFFSET(PO!N$12,ROW(C118)-ROW(C$12),0))</f>
        <v>PUXADOR PARA PCD, FIXADO NA PORTA - FORNECIMENTO E INSTALAÇÃO. AF_01/2020</v>
      </c>
      <c r="D118" s="129" t="str">
        <f ca="1">IF(OFFSET(PO!O$12,ROW(D118)-ROW(D$12),0)=0,"",OFFSET(PO!O$12,ROW(D118)-ROW(D$12),0))</f>
        <v>UN</v>
      </c>
      <c r="E118" s="165">
        <f ca="1">IF($A118&lt;&gt;"Serviço",0,ROUND(SUMIF($F$9:$Z$9,"&lt;&gt;",$F118:$Z118),15-13*PO!$X$3))</f>
        <v>26</v>
      </c>
      <c r="F118" s="215">
        <v>2</v>
      </c>
      <c r="G118" s="215">
        <v>2</v>
      </c>
      <c r="H118" s="215">
        <v>2</v>
      </c>
      <c r="I118" s="215">
        <v>2</v>
      </c>
      <c r="J118" s="215">
        <v>2</v>
      </c>
      <c r="K118" s="215">
        <v>2</v>
      </c>
      <c r="L118" s="215">
        <v>2</v>
      </c>
      <c r="M118" s="215">
        <v>2</v>
      </c>
      <c r="N118" s="215">
        <v>2</v>
      </c>
      <c r="O118" s="215">
        <v>2</v>
      </c>
      <c r="P118" s="215">
        <v>2</v>
      </c>
      <c r="Q118" s="215">
        <v>2</v>
      </c>
      <c r="R118" s="215">
        <v>2</v>
      </c>
      <c r="S118" s="215"/>
      <c r="T118" s="215"/>
      <c r="U118" s="215"/>
      <c r="V118" s="215"/>
      <c r="W118" s="215"/>
      <c r="X118" s="215"/>
      <c r="Y118" s="215"/>
      <c r="AE118" s="215"/>
    </row>
    <row r="119" spans="1:31" s="4" customFormat="1" ht="39.6">
      <c r="A119" s="128" t="str">
        <f ca="1">OFFSET(PO!J$12,ROW(A119)-ROW($A$12),0)</f>
        <v>Serviço</v>
      </c>
      <c r="B119" s="130" t="str">
        <f ca="1">IF($A119=0,"",OFFSET(PO!K$12,ROW(B119)-ROW(B$12),0))</f>
        <v>1.16.6.</v>
      </c>
      <c r="C119" s="127" t="str">
        <f ca="1">IF(OFFSET(PO!N$12,ROW(C119)-ROW(C$12),0)=0,"",OFFSET(PO!N$12,ROW(C119)-ROW(C$12),0))</f>
        <v>PORTA DE CORRER DE ALUMÍNIO, COM DUAS FOLHAS PARA VIDRO, INCLUSO VIDRO LISO INCOLOR, FECHADURA E PUXADOR, SEM ALIZAR. AF_12/2019</v>
      </c>
      <c r="D119" s="129" t="str">
        <f ca="1">IF(OFFSET(PO!O$12,ROW(D119)-ROW(D$12),0)=0,"",OFFSET(PO!O$12,ROW(D119)-ROW(D$12),0))</f>
        <v>M2</v>
      </c>
      <c r="E119" s="165">
        <f ca="1">IF($A119&lt;&gt;"Serviço",0,ROUND(SUMIF($F$9:$Z$9,"&lt;&gt;",$F119:$Z119),15-13*PO!$X$3))</f>
        <v>368.55</v>
      </c>
      <c r="F119" s="215">
        <v>28.35</v>
      </c>
      <c r="G119" s="215">
        <v>28.35</v>
      </c>
      <c r="H119" s="215">
        <v>28.35</v>
      </c>
      <c r="I119" s="215">
        <v>28.35</v>
      </c>
      <c r="J119" s="215">
        <v>28.35</v>
      </c>
      <c r="K119" s="215">
        <v>28.35</v>
      </c>
      <c r="L119" s="215">
        <v>28.35</v>
      </c>
      <c r="M119" s="215">
        <v>28.35</v>
      </c>
      <c r="N119" s="215">
        <v>28.35</v>
      </c>
      <c r="O119" s="215">
        <v>28.35</v>
      </c>
      <c r="P119" s="215">
        <v>28.35</v>
      </c>
      <c r="Q119" s="215">
        <v>28.35</v>
      </c>
      <c r="R119" s="215">
        <v>28.35</v>
      </c>
      <c r="S119" s="215"/>
      <c r="T119" s="215"/>
      <c r="U119" s="215"/>
      <c r="V119" s="215"/>
      <c r="W119" s="215"/>
      <c r="X119" s="215"/>
      <c r="Y119" s="215"/>
      <c r="AE119" s="215"/>
    </row>
    <row r="120" spans="1:31" s="4" customFormat="1" ht="39.6">
      <c r="A120" s="128" t="str">
        <f ca="1">OFFSET(PO!J$12,ROW(A120)-ROW($A$12),0)</f>
        <v>Serviço</v>
      </c>
      <c r="B120" s="130" t="str">
        <f ca="1">IF($A120=0,"",OFFSET(PO!K$12,ROW(B120)-ROW(B$12),0))</f>
        <v>1.16.7.</v>
      </c>
      <c r="C120" s="127" t="str">
        <f ca="1">IF(OFFSET(PO!N$12,ROW(C120)-ROW(C$12),0)=0,"",OFFSET(PO!N$12,ROW(C120)-ROW(C$12),0))</f>
        <v>JANELA DE ALUMÍNIO TIPO MAXIM-AR, COM VIDROS, BATENTE E FERRAGENS. EXCLUSIVE ALIZAR, ACABAMENTO E CONTRAMARCO. FORNECIMENTO E INSTALAÇÃO. AF_12/2019</v>
      </c>
      <c r="D120" s="129" t="str">
        <f ca="1">IF(OFFSET(PO!O$12,ROW(D120)-ROW(D$12),0)=0,"",OFFSET(PO!O$12,ROW(D120)-ROW(D$12),0))</f>
        <v>M2</v>
      </c>
      <c r="E120" s="165">
        <f ca="1">IF($A120&lt;&gt;"Serviço",0,ROUND(SUMIF($F$9:$Z$9,"&lt;&gt;",$F120:$Z120),15-13*PO!$X$3))</f>
        <v>12.48</v>
      </c>
      <c r="F120" s="215">
        <v>0.96</v>
      </c>
      <c r="G120" s="215">
        <v>0.96</v>
      </c>
      <c r="H120" s="215">
        <v>0.96</v>
      </c>
      <c r="I120" s="215">
        <v>0.96</v>
      </c>
      <c r="J120" s="215">
        <v>0.96</v>
      </c>
      <c r="K120" s="215">
        <v>0.96</v>
      </c>
      <c r="L120" s="215">
        <v>0.96</v>
      </c>
      <c r="M120" s="215">
        <v>0.96</v>
      </c>
      <c r="N120" s="215">
        <v>0.96</v>
      </c>
      <c r="O120" s="215">
        <v>0.96</v>
      </c>
      <c r="P120" s="215">
        <v>0.96</v>
      </c>
      <c r="Q120" s="215">
        <v>0.96</v>
      </c>
      <c r="R120" s="215">
        <v>0.96</v>
      </c>
      <c r="S120" s="215"/>
      <c r="T120" s="215"/>
      <c r="U120" s="215"/>
      <c r="V120" s="215"/>
      <c r="W120" s="215"/>
      <c r="X120" s="215"/>
      <c r="Y120" s="215"/>
      <c r="AE120" s="215"/>
    </row>
    <row r="121" spans="1:31" s="4" customFormat="1" ht="12.75">
      <c r="A121" s="128" t="str">
        <f ca="1">OFFSET(PO!J$12,ROW(A121)-ROW($A$12),0)</f>
        <v>Nível 2</v>
      </c>
      <c r="B121" s="130" t="str">
        <f ca="1">IF($A121=0,"",OFFSET(PO!K$12,ROW(B121)-ROW(B$12),0))</f>
        <v>1.17.</v>
      </c>
      <c r="C121" s="127" t="str">
        <f ca="1">IF(OFFSET(PO!N$12,ROW(C121)-ROW(C$12),0)=0,"",OFFSET(PO!N$12,ROW(C121)-ROW(C$12),0))</f>
        <v xml:space="preserve">Instalação Hidráulica </v>
      </c>
      <c r="D121" s="129" t="str">
        <f ca="1">IF(OFFSET(PO!O$12,ROW(D121)-ROW(D$12),0)=0,"",OFFSET(PO!O$12,ROW(D121)-ROW(D$12),0))</f>
        <v/>
      </c>
      <c r="E121" s="165">
        <f ca="1">IF($A121&lt;&gt;"Serviço",0,ROUND(SUMIF($F$9:$Z$9,"&lt;&gt;",$F121:$Z121),15-13*PO!$X$3))</f>
        <v>0</v>
      </c>
      <c r="F121" s="215"/>
      <c r="G121" s="215"/>
      <c r="H121" s="215"/>
      <c r="I121" s="215"/>
      <c r="J121" s="215"/>
      <c r="K121" s="215"/>
      <c r="L121" s="215"/>
      <c r="M121" s="215"/>
      <c r="N121" s="215"/>
      <c r="O121" s="215"/>
      <c r="P121" s="215"/>
      <c r="Q121" s="215"/>
      <c r="R121" s="215"/>
      <c r="S121" s="215"/>
      <c r="T121" s="215"/>
      <c r="U121" s="215"/>
      <c r="V121" s="215"/>
      <c r="W121" s="215"/>
      <c r="X121" s="215"/>
      <c r="Y121" s="215"/>
      <c r="AE121" s="215"/>
    </row>
    <row r="122" spans="1:31" s="4" customFormat="1" ht="39.6">
      <c r="A122" s="128" t="str">
        <f ca="1">OFFSET(PO!J$12,ROW(A122)-ROW($A$12),0)</f>
        <v>Serviço</v>
      </c>
      <c r="B122" s="130" t="str">
        <f ca="1">IF($A122=0,"",OFFSET(PO!K$12,ROW(B122)-ROW(B$12),0))</f>
        <v>1.17.1.</v>
      </c>
      <c r="C122" s="127" t="str">
        <f ca="1">IF(OFFSET(PO!N$12,ROW(C122)-ROW(C$12),0)=0,"",OFFSET(PO!N$12,ROW(C122)-ROW(C$12),0))</f>
        <v>CAIXA D´ÁGUA EM POLIETILENO, 500 LITROS (INCLUSOS TUBOS, CONEXÕES E TORNEIRA DE BÓIA) - FORNECIMENTO E INSTALAÇÃO. AF_06/2021</v>
      </c>
      <c r="D122" s="129" t="str">
        <f ca="1">IF(OFFSET(PO!O$12,ROW(D122)-ROW(D$12),0)=0,"",OFFSET(PO!O$12,ROW(D122)-ROW(D$12),0))</f>
        <v>UN</v>
      </c>
      <c r="E122" s="165">
        <f ca="1">IF($A122&lt;&gt;"Serviço",0,ROUND(SUMIF($F$9:$Z$9,"&lt;&gt;",$F122:$Z122),15-13*PO!$X$3))</f>
        <v>13</v>
      </c>
      <c r="F122" s="215">
        <v>1</v>
      </c>
      <c r="G122" s="215">
        <v>1</v>
      </c>
      <c r="H122" s="215">
        <v>1</v>
      </c>
      <c r="I122" s="215">
        <v>1</v>
      </c>
      <c r="J122" s="215">
        <v>1</v>
      </c>
      <c r="K122" s="215">
        <v>1</v>
      </c>
      <c r="L122" s="215">
        <v>1</v>
      </c>
      <c r="M122" s="215">
        <v>1</v>
      </c>
      <c r="N122" s="215">
        <v>1</v>
      </c>
      <c r="O122" s="215">
        <v>1</v>
      </c>
      <c r="P122" s="215">
        <v>1</v>
      </c>
      <c r="Q122" s="215">
        <v>1</v>
      </c>
      <c r="R122" s="215">
        <v>1</v>
      </c>
      <c r="S122" s="215"/>
      <c r="T122" s="215"/>
      <c r="U122" s="215"/>
      <c r="V122" s="215"/>
      <c r="W122" s="215"/>
      <c r="X122" s="215"/>
      <c r="Y122" s="215"/>
      <c r="AE122" s="215"/>
    </row>
    <row r="123" spans="1:31" s="4" customFormat="1" ht="66">
      <c r="A123" s="128" t="str">
        <f ca="1">OFFSET(PO!J$12,ROW(A123)-ROW($A$12),0)</f>
        <v>Serviço</v>
      </c>
      <c r="B123" s="130" t="str">
        <f ca="1">IF($A123=0,"",OFFSET(PO!K$12,ROW(B123)-ROW(B$12),0))</f>
        <v>1.17.2.</v>
      </c>
      <c r="C123" s="127" t="str">
        <f ca="1">IF(OFFSET(PO!N$12,ROW(C123)-ROW(C$12),0)=0,"",OFFSET(PO!N$12,ROW(C123)-ROW(C$12),0))</f>
        <v>(COMPOSIÇÃO REPRESENTATIVA) DO SERVIÇO DE INSTALAÇÃO DE TUBOS DE PVC, SOLDÁVEL, ÁGUA FRIA, DN 25 MM (INSTALADO EM RAMAL, SUB-RAMAL, RAMAL DE DISTRIBUIÇÃO OU PRUMADA), INCLUSIVE CONEXÕES, CORTES E FIXAÇÕES, PARA PRÉDIOS. AF_10/2015</v>
      </c>
      <c r="D123" s="129" t="str">
        <f ca="1">IF(OFFSET(PO!O$12,ROW(D123)-ROW(D$12),0)=0,"",OFFSET(PO!O$12,ROW(D123)-ROW(D$12),0))</f>
        <v>M</v>
      </c>
      <c r="E123" s="165">
        <f ca="1">IF($A123&lt;&gt;"Serviço",0,ROUND(SUMIF($F$9:$Z$9,"&lt;&gt;",$F123:$Z123),15-13*PO!$X$3))</f>
        <v>455</v>
      </c>
      <c r="F123" s="215">
        <v>35</v>
      </c>
      <c r="G123" s="215">
        <v>35</v>
      </c>
      <c r="H123" s="215">
        <v>35</v>
      </c>
      <c r="I123" s="215">
        <v>35</v>
      </c>
      <c r="J123" s="215">
        <v>35</v>
      </c>
      <c r="K123" s="215">
        <v>35</v>
      </c>
      <c r="L123" s="215">
        <v>35</v>
      </c>
      <c r="M123" s="215">
        <v>35</v>
      </c>
      <c r="N123" s="215">
        <v>35</v>
      </c>
      <c r="O123" s="215">
        <v>35</v>
      </c>
      <c r="P123" s="215">
        <v>35</v>
      </c>
      <c r="Q123" s="215">
        <v>35</v>
      </c>
      <c r="R123" s="215">
        <v>35</v>
      </c>
      <c r="S123" s="215"/>
      <c r="T123" s="215"/>
      <c r="U123" s="215"/>
      <c r="V123" s="215"/>
      <c r="W123" s="215"/>
      <c r="X123" s="215"/>
      <c r="Y123" s="215"/>
      <c r="AE123" s="215"/>
    </row>
    <row r="124" spans="1:31" s="4" customFormat="1" ht="26.4">
      <c r="A124" s="128" t="str">
        <f ca="1">OFFSET(PO!J$12,ROW(A124)-ROW($A$12),0)</f>
        <v>Serviço</v>
      </c>
      <c r="B124" s="130" t="str">
        <f ca="1">IF($A124=0,"",OFFSET(PO!K$12,ROW(B124)-ROW(B$12),0))</f>
        <v>1.17.3.</v>
      </c>
      <c r="C124" s="127" t="str">
        <f ca="1">IF(OFFSET(PO!N$12,ROW(C124)-ROW(C$12),0)=0,"",OFFSET(PO!N$12,ROW(C124)-ROW(C$12),0))</f>
        <v>REGISTRO DE GAVETA BRUTO, LATÃO, ROSCÁVEL, 3/4" - FORNECIMENTO E INSTALAÇÃO. AF_08/2021</v>
      </c>
      <c r="D124" s="129" t="str">
        <f ca="1">IF(OFFSET(PO!O$12,ROW(D124)-ROW(D$12),0)=0,"",OFFSET(PO!O$12,ROW(D124)-ROW(D$12),0))</f>
        <v>UN</v>
      </c>
      <c r="E124" s="165">
        <f ca="1">IF($A124&lt;&gt;"Serviço",0,ROUND(SUMIF($F$9:$Z$9,"&lt;&gt;",$F124:$Z124),15-13*PO!$X$3))</f>
        <v>39</v>
      </c>
      <c r="F124" s="215">
        <v>3</v>
      </c>
      <c r="G124" s="215">
        <v>3</v>
      </c>
      <c r="H124" s="215">
        <v>3</v>
      </c>
      <c r="I124" s="215">
        <v>3</v>
      </c>
      <c r="J124" s="215">
        <v>3</v>
      </c>
      <c r="K124" s="215">
        <v>3</v>
      </c>
      <c r="L124" s="215">
        <v>3</v>
      </c>
      <c r="M124" s="215">
        <v>3</v>
      </c>
      <c r="N124" s="215">
        <v>3</v>
      </c>
      <c r="O124" s="215">
        <v>3</v>
      </c>
      <c r="P124" s="215">
        <v>3</v>
      </c>
      <c r="Q124" s="215">
        <v>3</v>
      </c>
      <c r="R124" s="215">
        <v>3</v>
      </c>
      <c r="S124" s="215"/>
      <c r="T124" s="215"/>
      <c r="U124" s="215"/>
      <c r="V124" s="215"/>
      <c r="W124" s="215"/>
      <c r="X124" s="215"/>
      <c r="Y124" s="215"/>
      <c r="AE124" s="215"/>
    </row>
    <row r="125" spans="1:31" s="4" customFormat="1" ht="39.6">
      <c r="A125" s="128" t="str">
        <f ca="1">OFFSET(PO!J$12,ROW(A125)-ROW($A$12),0)</f>
        <v>Serviço</v>
      </c>
      <c r="B125" s="130" t="str">
        <f ca="1">IF($A125=0,"",OFFSET(PO!K$12,ROW(B125)-ROW(B$12),0))</f>
        <v>1.17.4.</v>
      </c>
      <c r="C125" s="127" t="str">
        <f ca="1">IF(OFFSET(PO!N$12,ROW(C125)-ROW(C$12),0)=0,"",OFFSET(PO!N$12,ROW(C125)-ROW(C$12),0))</f>
        <v>REGISTRO DE PRESSÃO BRUTO, LATÃO, ROSCÁVEL, 3/4", COM ACABAMENTO E CANOPLA CROMADOS - FORNECIMENTO E INSTALAÇÃO. AF_08/2021</v>
      </c>
      <c r="D125" s="129" t="str">
        <f ca="1">IF(OFFSET(PO!O$12,ROW(D125)-ROW(D$12),0)=0,"",OFFSET(PO!O$12,ROW(D125)-ROW(D$12),0))</f>
        <v>UN</v>
      </c>
      <c r="E125" s="165">
        <f ca="1">IF($A125&lt;&gt;"Serviço",0,ROUND(SUMIF($F$9:$Z$9,"&lt;&gt;",$F125:$Z125),15-13*PO!$X$3))</f>
        <v>13</v>
      </c>
      <c r="F125" s="215">
        <v>1</v>
      </c>
      <c r="G125" s="215">
        <v>1</v>
      </c>
      <c r="H125" s="215">
        <v>1</v>
      </c>
      <c r="I125" s="215">
        <v>1</v>
      </c>
      <c r="J125" s="215">
        <v>1</v>
      </c>
      <c r="K125" s="215">
        <v>1</v>
      </c>
      <c r="L125" s="215">
        <v>1</v>
      </c>
      <c r="M125" s="215">
        <v>1</v>
      </c>
      <c r="N125" s="215">
        <v>1</v>
      </c>
      <c r="O125" s="215">
        <v>1</v>
      </c>
      <c r="P125" s="215">
        <v>1</v>
      </c>
      <c r="Q125" s="215">
        <v>1</v>
      </c>
      <c r="R125" s="215">
        <v>1</v>
      </c>
      <c r="S125" s="215"/>
      <c r="T125" s="215"/>
      <c r="U125" s="215"/>
      <c r="V125" s="215"/>
      <c r="W125" s="215"/>
      <c r="X125" s="215"/>
      <c r="Y125" s="215"/>
      <c r="AE125" s="215"/>
    </row>
    <row r="126" spans="1:31" s="4" customFormat="1" ht="12.75">
      <c r="A126" s="128" t="str">
        <f ca="1">OFFSET(PO!J$12,ROW(A126)-ROW($A$12),0)</f>
        <v>Nível 2</v>
      </c>
      <c r="B126" s="130" t="str">
        <f ca="1">IF($A126=0,"",OFFSET(PO!K$12,ROW(B126)-ROW(B$12),0))</f>
        <v>1.18.</v>
      </c>
      <c r="C126" s="127" t="str">
        <f ca="1">IF(OFFSET(PO!N$12,ROW(C126)-ROW(C$12),0)=0,"",OFFSET(PO!N$12,ROW(C126)-ROW(C$12),0))</f>
        <v xml:space="preserve">Instalação Sanitária </v>
      </c>
      <c r="D126" s="129" t="str">
        <f ca="1">IF(OFFSET(PO!O$12,ROW(D126)-ROW(D$12),0)=0,"",OFFSET(PO!O$12,ROW(D126)-ROW(D$12),0))</f>
        <v/>
      </c>
      <c r="E126" s="165">
        <f ca="1">IF($A126&lt;&gt;"Serviço",0,ROUND(SUMIF($F$9:$Z$9,"&lt;&gt;",$F126:$Z126),15-13*PO!$X$3))</f>
        <v>0</v>
      </c>
      <c r="F126" s="215"/>
      <c r="G126" s="215"/>
      <c r="H126" s="215"/>
      <c r="I126" s="215"/>
      <c r="J126" s="215"/>
      <c r="K126" s="215"/>
      <c r="L126" s="215"/>
      <c r="M126" s="215"/>
      <c r="N126" s="215"/>
      <c r="O126" s="215"/>
      <c r="P126" s="215"/>
      <c r="Q126" s="215"/>
      <c r="R126" s="215"/>
      <c r="S126" s="215"/>
      <c r="T126" s="215"/>
      <c r="U126" s="215"/>
      <c r="V126" s="215"/>
      <c r="W126" s="215"/>
      <c r="X126" s="215"/>
      <c r="Y126" s="215"/>
      <c r="AE126" s="215"/>
    </row>
    <row r="127" spans="1:31" s="4" customFormat="1" ht="52.8">
      <c r="A127" s="128" t="str">
        <f ca="1">OFFSET(PO!J$12,ROW(A127)-ROW($A$12),0)</f>
        <v>Serviço</v>
      </c>
      <c r="B127" s="130" t="str">
        <f ca="1">IF($A127=0,"",OFFSET(PO!K$12,ROW(B127)-ROW(B$12),0))</f>
        <v>1.18.1.</v>
      </c>
      <c r="C127" s="127" t="str">
        <f ca="1">IF(OFFSET(PO!N$12,ROW(C127)-ROW(C$12),0)=0,"",OFFSET(PO!N$12,ROW(C127)-ROW(C$12),0))</f>
        <v xml:space="preserve">FOSSA SEPTICA, SEM FILTRO, EM POLIETILENO DE ALTA DENSIDADE (PEAD), PARA 4 A 7 CONTRIBUINTES, CILINDRICA, COM TAMPA, CAPACIDADE APROXIMADA DE *1100* LITROS (NBR 7229)                                                                                                                                                                                                                                                                                                                                    </v>
      </c>
      <c r="D127" s="129" t="str">
        <f ca="1">IF(OFFSET(PO!O$12,ROW(D127)-ROW(D$12),0)=0,"",OFFSET(PO!O$12,ROW(D127)-ROW(D$12),0))</f>
        <v xml:space="preserve">UN    </v>
      </c>
      <c r="E127" s="165">
        <f ca="1">IF($A127&lt;&gt;"Serviço",0,ROUND(SUMIF($F$9:$Z$9,"&lt;&gt;",$F127:$Z127),15-13*PO!$X$3))</f>
        <v>13</v>
      </c>
      <c r="F127" s="215">
        <v>1</v>
      </c>
      <c r="G127" s="215">
        <v>1</v>
      </c>
      <c r="H127" s="215">
        <v>1</v>
      </c>
      <c r="I127" s="215">
        <v>1</v>
      </c>
      <c r="J127" s="215">
        <v>1</v>
      </c>
      <c r="K127" s="215">
        <v>1</v>
      </c>
      <c r="L127" s="215">
        <v>1</v>
      </c>
      <c r="M127" s="215">
        <v>1</v>
      </c>
      <c r="N127" s="215">
        <v>1</v>
      </c>
      <c r="O127" s="215">
        <v>1</v>
      </c>
      <c r="P127" s="215">
        <v>1</v>
      </c>
      <c r="Q127" s="215">
        <v>1</v>
      </c>
      <c r="R127" s="215">
        <v>1</v>
      </c>
      <c r="S127" s="215"/>
      <c r="T127" s="215"/>
      <c r="U127" s="215"/>
      <c r="V127" s="215"/>
      <c r="W127" s="215"/>
      <c r="X127" s="215"/>
      <c r="Y127" s="215"/>
      <c r="AE127" s="215"/>
    </row>
    <row r="128" spans="1:31" s="4" customFormat="1" ht="26.4">
      <c r="A128" s="128" t="str">
        <f ca="1">OFFSET(PO!J$12,ROW(A128)-ROW($A$12),0)</f>
        <v>Serviço</v>
      </c>
      <c r="B128" s="130" t="str">
        <f ca="1">IF($A128=0,"",OFFSET(PO!K$12,ROW(B128)-ROW(B$12),0))</f>
        <v>1.18.2.</v>
      </c>
      <c r="C128" s="127" t="str">
        <f ca="1">IF(OFFSET(PO!N$12,ROW(C128)-ROW(C$12),0)=0,"",OFFSET(PO!N$12,ROW(C128)-ROW(C$12),0))</f>
        <v xml:space="preserve">FILTRO ANAEROBIO, EM POLIETILENO DE ALTA DENSIDADE (PEAD), CAPACIDADE *1100* LITROS (NBR 13969)                                                                                                                                                                                                                                                                                                                                                                                                           </v>
      </c>
      <c r="D128" s="129" t="str">
        <f ca="1">IF(OFFSET(PO!O$12,ROW(D128)-ROW(D$12),0)=0,"",OFFSET(PO!O$12,ROW(D128)-ROW(D$12),0))</f>
        <v xml:space="preserve">UN    </v>
      </c>
      <c r="E128" s="165">
        <f ca="1">IF($A128&lt;&gt;"Serviço",0,ROUND(SUMIF($F$9:$Z$9,"&lt;&gt;",$F128:$Z128),15-13*PO!$X$3))</f>
        <v>13</v>
      </c>
      <c r="F128" s="215">
        <v>1</v>
      </c>
      <c r="G128" s="215">
        <v>1</v>
      </c>
      <c r="H128" s="215">
        <v>1</v>
      </c>
      <c r="I128" s="215">
        <v>1</v>
      </c>
      <c r="J128" s="215">
        <v>1</v>
      </c>
      <c r="K128" s="215">
        <v>1</v>
      </c>
      <c r="L128" s="215">
        <v>1</v>
      </c>
      <c r="M128" s="215">
        <v>1</v>
      </c>
      <c r="N128" s="215">
        <v>1</v>
      </c>
      <c r="O128" s="215">
        <v>1</v>
      </c>
      <c r="P128" s="215">
        <v>1</v>
      </c>
      <c r="Q128" s="215">
        <v>1</v>
      </c>
      <c r="R128" s="215">
        <v>1</v>
      </c>
      <c r="S128" s="215"/>
      <c r="T128" s="215"/>
      <c r="U128" s="215"/>
      <c r="V128" s="215"/>
      <c r="W128" s="215"/>
      <c r="X128" s="215"/>
      <c r="Y128" s="215"/>
      <c r="AE128" s="215"/>
    </row>
    <row r="129" spans="1:31" s="4" customFormat="1" ht="52.8">
      <c r="A129" s="128" t="str">
        <f ca="1">OFFSET(PO!J$12,ROW(A129)-ROW($A$12),0)</f>
        <v>Serviço</v>
      </c>
      <c r="B129" s="130" t="str">
        <f ca="1">IF($A129=0,"",OFFSET(PO!K$12,ROW(B129)-ROW(B$12),0))</f>
        <v>1.18.3.</v>
      </c>
      <c r="C129" s="127" t="str">
        <f ca="1">IF(OFFSET(PO!N$12,ROW(C129)-ROW(C$12),0)=0,"",OFFSET(PO!N$12,ROW(C129)-ROW(C$12),0))</f>
        <v>SUMIDOURO CIRCULAR, EM CONCRETO PRÉ-MOLDADO, DIÂMETRO INTERNO = 1,88 M, ALTURA INTERNA = 2,00 M, ÁREA DE INFILTRAÇÃO: 13,1 M² (PARA 5 CONTRIBUINTES). AF_12/2020_PA</v>
      </c>
      <c r="D129" s="129" t="str">
        <f ca="1">IF(OFFSET(PO!O$12,ROW(D129)-ROW(D$12),0)=0,"",OFFSET(PO!O$12,ROW(D129)-ROW(D$12),0))</f>
        <v>UN</v>
      </c>
      <c r="E129" s="165">
        <f ca="1">IF($A129&lt;&gt;"Serviço",0,ROUND(SUMIF($F$9:$Z$9,"&lt;&gt;",$F129:$Z129),15-13*PO!$X$3))</f>
        <v>13</v>
      </c>
      <c r="F129" s="215">
        <v>1</v>
      </c>
      <c r="G129" s="215">
        <v>1</v>
      </c>
      <c r="H129" s="215">
        <v>1</v>
      </c>
      <c r="I129" s="215">
        <v>1</v>
      </c>
      <c r="J129" s="215">
        <v>1</v>
      </c>
      <c r="K129" s="215">
        <v>1</v>
      </c>
      <c r="L129" s="215">
        <v>1</v>
      </c>
      <c r="M129" s="215">
        <v>1</v>
      </c>
      <c r="N129" s="215">
        <v>1</v>
      </c>
      <c r="O129" s="215">
        <v>1</v>
      </c>
      <c r="P129" s="215">
        <v>1</v>
      </c>
      <c r="Q129" s="215">
        <v>1</v>
      </c>
      <c r="R129" s="215">
        <v>1</v>
      </c>
      <c r="S129" s="215"/>
      <c r="T129" s="215"/>
      <c r="U129" s="215"/>
      <c r="V129" s="215"/>
      <c r="W129" s="215"/>
      <c r="X129" s="215"/>
      <c r="Y129" s="215"/>
      <c r="AE129" s="215"/>
    </row>
    <row r="130" spans="1:31" s="4" customFormat="1" ht="66">
      <c r="A130" s="128" t="str">
        <f ca="1">OFFSET(PO!J$12,ROW(A130)-ROW($A$12),0)</f>
        <v>Serviço</v>
      </c>
      <c r="B130" s="130" t="str">
        <f ca="1">IF($A130=0,"",OFFSET(PO!K$12,ROW(B130)-ROW(B$12),0))</f>
        <v>1.18.4.</v>
      </c>
      <c r="C130" s="127" t="str">
        <f ca="1">IF(OFFSET(PO!N$12,ROW(C130)-ROW(C$12),0)=0,"",OFFSET(PO!N$12,ROW(C130)-ROW(C$12),0))</f>
        <v>(COMPOSIÇÃO REPRESENTATIVA) DO SERVIÇO DE INSTALAÇÃO DE TUBO DE PVC, SÉRIE NORMAL, ESGOTO PREDIAL, DN 40 MM (INSTALADO EM RAMAL DE DESCARGA OU RAMAL DE ESGOTO SANITÁRIO), INCLUSIVE CONEXÕES, CORTES E FIXAÇÕES, PARA PRÉDIOS. AF_10/2015</v>
      </c>
      <c r="D130" s="129" t="str">
        <f ca="1">IF(OFFSET(PO!O$12,ROW(D130)-ROW(D$12),0)=0,"",OFFSET(PO!O$12,ROW(D130)-ROW(D$12),0))</f>
        <v>M</v>
      </c>
      <c r="E130" s="165">
        <f ca="1">IF($A130&lt;&gt;"Serviço",0,ROUND(SUMIF($F$9:$Z$9,"&lt;&gt;",$F130:$Z130),15-13*PO!$X$3))</f>
        <v>35.1</v>
      </c>
      <c r="F130" s="215">
        <v>2.7</v>
      </c>
      <c r="G130" s="215">
        <v>2.7</v>
      </c>
      <c r="H130" s="215">
        <v>2.7</v>
      </c>
      <c r="I130" s="215">
        <v>2.7</v>
      </c>
      <c r="J130" s="215">
        <v>2.7</v>
      </c>
      <c r="K130" s="215">
        <v>2.7</v>
      </c>
      <c r="L130" s="215">
        <v>2.7</v>
      </c>
      <c r="M130" s="215">
        <v>2.7</v>
      </c>
      <c r="N130" s="215">
        <v>2.7</v>
      </c>
      <c r="O130" s="215">
        <v>2.7</v>
      </c>
      <c r="P130" s="215">
        <v>2.7</v>
      </c>
      <c r="Q130" s="215">
        <v>2.7</v>
      </c>
      <c r="R130" s="215">
        <v>2.7</v>
      </c>
      <c r="S130" s="215"/>
      <c r="T130" s="215"/>
      <c r="U130" s="215"/>
      <c r="V130" s="215"/>
      <c r="W130" s="215"/>
      <c r="X130" s="215"/>
      <c r="Y130" s="215"/>
      <c r="AE130" s="215"/>
    </row>
    <row r="131" spans="1:31" s="4" customFormat="1" ht="66">
      <c r="A131" s="128" t="str">
        <f ca="1">OFFSET(PO!J$12,ROW(A131)-ROW($A$12),0)</f>
        <v>Serviço</v>
      </c>
      <c r="B131" s="130" t="str">
        <f ca="1">IF($A131=0,"",OFFSET(PO!K$12,ROW(B131)-ROW(B$12),0))</f>
        <v>1.18.5.</v>
      </c>
      <c r="C131" s="127" t="str">
        <f ca="1">IF(OFFSET(PO!N$12,ROW(C131)-ROW(C$12),0)=0,"",OFFSET(PO!N$12,ROW(C131)-ROW(C$12),0))</f>
        <v>(COMPOSIÇÃO REPRESENTATIVA) DO SERVIÇO DE INSTALAÇÃO DE TUBO DE PVC, SÉRIE NORMAL, ESGOTO PREDIAL, DN 50 MM (INSTALADO EM RAMAL DE DESCARGA OU RAMAL DE ESGOTO SANITÁRIO), INCLUSIVE CONEXÕES, CORTES E FIXAÇÕES PARA, PRÉDIOS. AF_10/2015</v>
      </c>
      <c r="D131" s="129" t="str">
        <f ca="1">IF(OFFSET(PO!O$12,ROW(D131)-ROW(D$12),0)=0,"",OFFSET(PO!O$12,ROW(D131)-ROW(D$12),0))</f>
        <v>M</v>
      </c>
      <c r="E131" s="165">
        <f ca="1">IF($A131&lt;&gt;"Serviço",0,ROUND(SUMIF($F$9:$Z$9,"&lt;&gt;",$F131:$Z131),15-13*PO!$X$3))</f>
        <v>78</v>
      </c>
      <c r="F131" s="215">
        <v>6</v>
      </c>
      <c r="G131" s="215">
        <v>6</v>
      </c>
      <c r="H131" s="215">
        <v>6</v>
      </c>
      <c r="I131" s="215">
        <v>6</v>
      </c>
      <c r="J131" s="215">
        <v>6</v>
      </c>
      <c r="K131" s="215">
        <v>6</v>
      </c>
      <c r="L131" s="215">
        <v>6</v>
      </c>
      <c r="M131" s="215">
        <v>6</v>
      </c>
      <c r="N131" s="215">
        <v>6</v>
      </c>
      <c r="O131" s="215">
        <v>6</v>
      </c>
      <c r="P131" s="215">
        <v>6</v>
      </c>
      <c r="Q131" s="215">
        <v>6</v>
      </c>
      <c r="R131" s="215">
        <v>6</v>
      </c>
      <c r="S131" s="215"/>
      <c r="T131" s="215"/>
      <c r="U131" s="215"/>
      <c r="V131" s="215"/>
      <c r="W131" s="215"/>
      <c r="X131" s="215"/>
      <c r="Y131" s="215"/>
      <c r="AE131" s="215"/>
    </row>
    <row r="132" spans="1:31" s="4" customFormat="1" ht="66">
      <c r="A132" s="128" t="str">
        <f ca="1">OFFSET(PO!J$12,ROW(A132)-ROW($A$12),0)</f>
        <v>Serviço</v>
      </c>
      <c r="B132" s="130" t="str">
        <f ca="1">IF($A132=0,"",OFFSET(PO!K$12,ROW(B132)-ROW(B$12),0))</f>
        <v>1.18.6.</v>
      </c>
      <c r="C132" s="127" t="str">
        <f ca="1">IF(OFFSET(PO!N$12,ROW(C132)-ROW(C$12),0)=0,"",OFFSET(PO!N$12,ROW(C132)-ROW(C$12),0))</f>
        <v>(COMPOSIÇÃO REPRESENTATIVA) DO SERVIÇO DE INST. TUBO PVC, SÉRIE N, ESGOTO PREDIAL, 100 MM (INST. RAMAL DESCARGA, RAMAL DE ESG. SANIT., PRUMADA ESG. SANIT., VENTILAÇÃO OU SUB-COLETOR AÉREO), INCL. CONEXÕES E CORTES, FIXAÇÕES, P/ PRÉDIOS. AF_10/2015</v>
      </c>
      <c r="D132" s="129" t="str">
        <f ca="1">IF(OFFSET(PO!O$12,ROW(D132)-ROW(D$12),0)=0,"",OFFSET(PO!O$12,ROW(D132)-ROW(D$12),0))</f>
        <v>M</v>
      </c>
      <c r="E132" s="165">
        <f ca="1">IF($A132&lt;&gt;"Serviço",0,ROUND(SUMIF($F$9:$Z$9,"&lt;&gt;",$F132:$Z132),15-13*PO!$X$3))</f>
        <v>91</v>
      </c>
      <c r="F132" s="215">
        <v>7</v>
      </c>
      <c r="G132" s="215">
        <v>7</v>
      </c>
      <c r="H132" s="215">
        <v>7</v>
      </c>
      <c r="I132" s="215">
        <v>7</v>
      </c>
      <c r="J132" s="215">
        <v>7</v>
      </c>
      <c r="K132" s="215">
        <v>7</v>
      </c>
      <c r="L132" s="215">
        <v>7</v>
      </c>
      <c r="M132" s="215">
        <v>7</v>
      </c>
      <c r="N132" s="215">
        <v>7</v>
      </c>
      <c r="O132" s="215">
        <v>7</v>
      </c>
      <c r="P132" s="215">
        <v>7</v>
      </c>
      <c r="Q132" s="215">
        <v>7</v>
      </c>
      <c r="R132" s="215">
        <v>7</v>
      </c>
      <c r="S132" s="215"/>
      <c r="T132" s="215"/>
      <c r="U132" s="215"/>
      <c r="V132" s="215"/>
      <c r="W132" s="215"/>
      <c r="X132" s="215"/>
      <c r="Y132" s="215"/>
      <c r="AE132" s="215"/>
    </row>
    <row r="133" spans="1:31" s="4" customFormat="1" ht="39.6">
      <c r="A133" s="128" t="str">
        <f ca="1">OFFSET(PO!J$12,ROW(A133)-ROW($A$12),0)</f>
        <v>Serviço</v>
      </c>
      <c r="B133" s="130" t="str">
        <f ca="1">IF($A133=0,"",OFFSET(PO!K$12,ROW(B133)-ROW(B$12),0))</f>
        <v>1.18.7.</v>
      </c>
      <c r="C133" s="127" t="str">
        <f ca="1">IF(OFFSET(PO!N$12,ROW(C133)-ROW(C$12),0)=0,"",OFFSET(PO!N$12,ROW(C133)-ROW(C$12),0))</f>
        <v>RALO SIFONADO REDONDO, PVC, DN 100 X 40 MM, JUNTA SOLDÁVEL, FORNECIDO E INSTALADO EM RAMAL DE DESCARGA OU EM RAMAL DE ESGOTO SANITÁRIO. AF_08/2022</v>
      </c>
      <c r="D133" s="129" t="str">
        <f ca="1">IF(OFFSET(PO!O$12,ROW(D133)-ROW(D$12),0)=0,"",OFFSET(PO!O$12,ROW(D133)-ROW(D$12),0))</f>
        <v>UN</v>
      </c>
      <c r="E133" s="165">
        <f ca="1">IF($A133&lt;&gt;"Serviço",0,ROUND(SUMIF($F$9:$Z$9,"&lt;&gt;",$F133:$Z133),15-13*PO!$X$3))</f>
        <v>26</v>
      </c>
      <c r="F133" s="215">
        <v>2</v>
      </c>
      <c r="G133" s="215">
        <v>2</v>
      </c>
      <c r="H133" s="215">
        <v>2</v>
      </c>
      <c r="I133" s="215">
        <v>2</v>
      </c>
      <c r="J133" s="215">
        <v>2</v>
      </c>
      <c r="K133" s="215">
        <v>2</v>
      </c>
      <c r="L133" s="215">
        <v>2</v>
      </c>
      <c r="M133" s="215">
        <v>2</v>
      </c>
      <c r="N133" s="215">
        <v>2</v>
      </c>
      <c r="O133" s="215">
        <v>2</v>
      </c>
      <c r="P133" s="215">
        <v>2</v>
      </c>
      <c r="Q133" s="215">
        <v>2</v>
      </c>
      <c r="R133" s="215">
        <v>2</v>
      </c>
      <c r="S133" s="215"/>
      <c r="T133" s="215"/>
      <c r="U133" s="215"/>
      <c r="V133" s="215"/>
      <c r="W133" s="215"/>
      <c r="X133" s="215"/>
      <c r="Y133" s="215"/>
      <c r="AE133" s="215"/>
    </row>
    <row r="134" spans="1:31" s="4" customFormat="1" ht="26.4">
      <c r="A134" s="128" t="str">
        <f ca="1">OFFSET(PO!J$12,ROW(A134)-ROW($A$12),0)</f>
        <v>Serviço</v>
      </c>
      <c r="B134" s="130" t="str">
        <f ca="1">IF($A134=0,"",OFFSET(PO!K$12,ROW(B134)-ROW(B$12),0))</f>
        <v>1.18.8.</v>
      </c>
      <c r="C134" s="127" t="str">
        <f ca="1">IF(OFFSET(PO!N$12,ROW(C134)-ROW(C$12),0)=0,"",OFFSET(PO!N$12,ROW(C134)-ROW(C$12),0))</f>
        <v xml:space="preserve">CAIXA DE CONCRETO ARMADO PRE-MOLDADO, COM FUNDO E TAMPA, DIMENSOES DE 0,40 X 0,40 X 0,40 M                                                                                                                                                                                                                                                                                                                                                                                                                </v>
      </c>
      <c r="D134" s="129" t="str">
        <f ca="1">IF(OFFSET(PO!O$12,ROW(D134)-ROW(D$12),0)=0,"",OFFSET(PO!O$12,ROW(D134)-ROW(D$12),0))</f>
        <v xml:space="preserve">UN    </v>
      </c>
      <c r="E134" s="165">
        <f ca="1">IF($A134&lt;&gt;"Serviço",0,ROUND(SUMIF($F$9:$Z$9,"&lt;&gt;",$F134:$Z134),15-13*PO!$X$3))</f>
        <v>26</v>
      </c>
      <c r="F134" s="215">
        <v>2</v>
      </c>
      <c r="G134" s="215">
        <v>2</v>
      </c>
      <c r="H134" s="215">
        <v>2</v>
      </c>
      <c r="I134" s="215">
        <v>2</v>
      </c>
      <c r="J134" s="215">
        <v>2</v>
      </c>
      <c r="K134" s="215">
        <v>2</v>
      </c>
      <c r="L134" s="215">
        <v>2</v>
      </c>
      <c r="M134" s="215">
        <v>2</v>
      </c>
      <c r="N134" s="215">
        <v>2</v>
      </c>
      <c r="O134" s="215">
        <v>2</v>
      </c>
      <c r="P134" s="215">
        <v>2</v>
      </c>
      <c r="Q134" s="215">
        <v>2</v>
      </c>
      <c r="R134" s="215">
        <v>2</v>
      </c>
      <c r="S134" s="215"/>
      <c r="T134" s="215"/>
      <c r="U134" s="215"/>
      <c r="V134" s="215"/>
      <c r="W134" s="215"/>
      <c r="X134" s="215"/>
      <c r="Y134" s="215"/>
      <c r="AE134" s="215"/>
    </row>
    <row r="135" spans="1:31" s="4" customFormat="1" ht="39.6">
      <c r="A135" s="128" t="str">
        <f ca="1">OFFSET(PO!J$12,ROW(A135)-ROW($A$12),0)</f>
        <v>Serviço</v>
      </c>
      <c r="B135" s="130" t="str">
        <f ca="1">IF($A135=0,"",OFFSET(PO!K$12,ROW(B135)-ROW(B$12),0))</f>
        <v>1.18.9.</v>
      </c>
      <c r="C135" s="127" t="str">
        <f ca="1">IF(OFFSET(PO!N$12,ROW(C135)-ROW(C$12),0)=0,"",OFFSET(PO!N$12,ROW(C135)-ROW(C$12),0))</f>
        <v xml:space="preserve">CAIXA DE GORDURA CILINDRICA EM CONCRETO SIMPLES,  PRE-MOLDADA, COM DIAMETRO DE 40 CM E ALTURA DE 45 CM, COM TAMPA                                                                                                                                                                                                                                                                                                                                                                                         </v>
      </c>
      <c r="D135" s="129" t="str">
        <f ca="1">IF(OFFSET(PO!O$12,ROW(D135)-ROW(D$12),0)=0,"",OFFSET(PO!O$12,ROW(D135)-ROW(D$12),0))</f>
        <v xml:space="preserve">UN    </v>
      </c>
      <c r="E135" s="165">
        <f ca="1">IF($A135&lt;&gt;"Serviço",0,ROUND(SUMIF($F$9:$Z$9,"&lt;&gt;",$F135:$Z135),15-13*PO!$X$3))</f>
        <v>13</v>
      </c>
      <c r="F135" s="215">
        <v>1</v>
      </c>
      <c r="G135" s="215">
        <v>1</v>
      </c>
      <c r="H135" s="215">
        <v>1</v>
      </c>
      <c r="I135" s="215">
        <v>1</v>
      </c>
      <c r="J135" s="215">
        <v>1</v>
      </c>
      <c r="K135" s="215">
        <v>1</v>
      </c>
      <c r="L135" s="215">
        <v>1</v>
      </c>
      <c r="M135" s="215">
        <v>1</v>
      </c>
      <c r="N135" s="215">
        <v>1</v>
      </c>
      <c r="O135" s="215">
        <v>1</v>
      </c>
      <c r="P135" s="215">
        <v>1</v>
      </c>
      <c r="Q135" s="215">
        <v>1</v>
      </c>
      <c r="R135" s="215">
        <v>1</v>
      </c>
      <c r="S135" s="215"/>
      <c r="T135" s="215"/>
      <c r="U135" s="215"/>
      <c r="V135" s="215"/>
      <c r="W135" s="215"/>
      <c r="X135" s="215"/>
      <c r="Y135" s="215"/>
      <c r="AE135" s="215"/>
    </row>
    <row r="136" spans="1:31" s="4" customFormat="1" ht="26.4">
      <c r="A136" s="128" t="str">
        <f ca="1">OFFSET(PO!J$12,ROW(A136)-ROW($A$12),0)</f>
        <v>Serviço</v>
      </c>
      <c r="B136" s="130" t="str">
        <f ca="1">IF($A136=0,"",OFFSET(PO!K$12,ROW(B136)-ROW(B$12),0))</f>
        <v>1.18.10.</v>
      </c>
      <c r="C136" s="127" t="str">
        <f ca="1">IF(OFFSET(PO!N$12,ROW(C136)-ROW(C$12),0)=0,"",OFFSET(PO!N$12,ROW(C136)-ROW(C$12),0))</f>
        <v xml:space="preserve">RALO SECO CONICO, PVC, 100 X 40 MM,  COM GRELHA REDONDA BRANCA                                                                                                                                                                                                                                                                                                                                                                                                                                            </v>
      </c>
      <c r="D136" s="129" t="str">
        <f ca="1">IF(OFFSET(PO!O$12,ROW(D136)-ROW(D$12),0)=0,"",OFFSET(PO!O$12,ROW(D136)-ROW(D$12),0))</f>
        <v xml:space="preserve">UN    </v>
      </c>
      <c r="E136" s="165">
        <f ca="1">IF($A136&lt;&gt;"Serviço",0,ROUND(SUMIF($F$9:$Z$9,"&lt;&gt;",$F136:$Z136),15-13*PO!$X$3))</f>
        <v>13</v>
      </c>
      <c r="F136" s="215">
        <v>1</v>
      </c>
      <c r="G136" s="215">
        <v>1</v>
      </c>
      <c r="H136" s="215">
        <v>1</v>
      </c>
      <c r="I136" s="215">
        <v>1</v>
      </c>
      <c r="J136" s="215">
        <v>1</v>
      </c>
      <c r="K136" s="215">
        <v>1</v>
      </c>
      <c r="L136" s="215">
        <v>1</v>
      </c>
      <c r="M136" s="215">
        <v>1</v>
      </c>
      <c r="N136" s="215">
        <v>1</v>
      </c>
      <c r="O136" s="215">
        <v>1</v>
      </c>
      <c r="P136" s="215">
        <v>1</v>
      </c>
      <c r="Q136" s="215">
        <v>1</v>
      </c>
      <c r="R136" s="215">
        <v>1</v>
      </c>
      <c r="S136" s="215"/>
      <c r="T136" s="215"/>
      <c r="U136" s="215"/>
      <c r="V136" s="215"/>
      <c r="W136" s="215"/>
      <c r="X136" s="215"/>
      <c r="Y136" s="215"/>
      <c r="AE136" s="215"/>
    </row>
    <row r="137" spans="1:31" s="4" customFormat="1" ht="12.75">
      <c r="A137" s="128" t="str">
        <f ca="1">OFFSET(PO!J$12,ROW(A137)-ROW($A$12),0)</f>
        <v>Nível 2</v>
      </c>
      <c r="B137" s="130" t="str">
        <f ca="1">IF($A137=0,"",OFFSET(PO!K$12,ROW(B137)-ROW(B$12),0))</f>
        <v>1.19.</v>
      </c>
      <c r="C137" s="127" t="str">
        <f ca="1">IF(OFFSET(PO!N$12,ROW(C137)-ROW(C$12),0)=0,"",OFFSET(PO!N$12,ROW(C137)-ROW(C$12),0))</f>
        <v xml:space="preserve">Louças e Acessórios </v>
      </c>
      <c r="D137" s="129" t="str">
        <f ca="1">IF(OFFSET(PO!O$12,ROW(D137)-ROW(D$12),0)=0,"",OFFSET(PO!O$12,ROW(D137)-ROW(D$12),0))</f>
        <v/>
      </c>
      <c r="E137" s="165">
        <f ca="1">IF($A137&lt;&gt;"Serviço",0,ROUND(SUMIF($F$9:$Z$9,"&lt;&gt;",$F137:$Z137),15-13*PO!$X$3))</f>
        <v>0</v>
      </c>
      <c r="F137" s="215"/>
      <c r="G137" s="215"/>
      <c r="H137" s="215"/>
      <c r="I137" s="215"/>
      <c r="J137" s="215"/>
      <c r="K137" s="215"/>
      <c r="L137" s="215"/>
      <c r="M137" s="215"/>
      <c r="N137" s="215"/>
      <c r="O137" s="215"/>
      <c r="P137" s="215"/>
      <c r="Q137" s="215"/>
      <c r="R137" s="215"/>
      <c r="S137" s="215"/>
      <c r="T137" s="215"/>
      <c r="U137" s="215"/>
      <c r="V137" s="215"/>
      <c r="W137" s="215"/>
      <c r="X137" s="215"/>
      <c r="Y137" s="215"/>
      <c r="AE137" s="215"/>
    </row>
    <row r="138" spans="1:31" s="4" customFormat="1" ht="39.6">
      <c r="A138" s="128" t="str">
        <f ca="1">OFFSET(PO!J$12,ROW(A138)-ROW($A$12),0)</f>
        <v>Serviço</v>
      </c>
      <c r="B138" s="130" t="str">
        <f ca="1">IF($A138=0,"",OFFSET(PO!K$12,ROW(B138)-ROW(B$12),0))</f>
        <v>1.19.1.</v>
      </c>
      <c r="C138" s="127" t="str">
        <f ca="1">IF(OFFSET(PO!N$12,ROW(C138)-ROW(C$12),0)=0,"",OFFSET(PO!N$12,ROW(C138)-ROW(C$12),0))</f>
        <v>VASO SANITÁRIO SIFONADO COM CAIXA ACOPLADA LOUÇA BRANCA, INCLUSO ENGATE FLEXÍVEL EM PLÁSTICO BRANCO, 1/2  X 40CM - FORNECIMENTO E INSTALAÇÃO. AF_01/2020</v>
      </c>
      <c r="D138" s="129" t="str">
        <f ca="1">IF(OFFSET(PO!O$12,ROW(D138)-ROW(D$12),0)=0,"",OFFSET(PO!O$12,ROW(D138)-ROW(D$12),0))</f>
        <v>UN</v>
      </c>
      <c r="E138" s="165">
        <f ca="1">IF($A138&lt;&gt;"Serviço",0,ROUND(SUMIF($F$9:$Z$9,"&lt;&gt;",$F138:$Z138),15-13*PO!$X$3))</f>
        <v>13</v>
      </c>
      <c r="F138" s="215">
        <v>1</v>
      </c>
      <c r="G138" s="215">
        <v>1</v>
      </c>
      <c r="H138" s="215">
        <v>1</v>
      </c>
      <c r="I138" s="215">
        <v>1</v>
      </c>
      <c r="J138" s="215">
        <v>1</v>
      </c>
      <c r="K138" s="215">
        <v>1</v>
      </c>
      <c r="L138" s="215">
        <v>1</v>
      </c>
      <c r="M138" s="215">
        <v>1</v>
      </c>
      <c r="N138" s="215">
        <v>1</v>
      </c>
      <c r="O138" s="215">
        <v>1</v>
      </c>
      <c r="P138" s="215">
        <v>1</v>
      </c>
      <c r="Q138" s="215">
        <v>1</v>
      </c>
      <c r="R138" s="215">
        <v>1</v>
      </c>
      <c r="S138" s="215"/>
      <c r="T138" s="215"/>
      <c r="U138" s="215"/>
      <c r="V138" s="215"/>
      <c r="W138" s="215"/>
      <c r="X138" s="215"/>
      <c r="Y138" s="215"/>
      <c r="AE138" s="215"/>
    </row>
    <row r="139" spans="1:31" s="4" customFormat="1" ht="52.8">
      <c r="A139" s="128" t="str">
        <f ca="1">OFFSET(PO!J$12,ROW(A139)-ROW($A$12),0)</f>
        <v>Serviço</v>
      </c>
      <c r="B139" s="130" t="str">
        <f ca="1">IF($A139=0,"",OFFSET(PO!K$12,ROW(B139)-ROW(B$12),0))</f>
        <v>1.19.2.</v>
      </c>
      <c r="C139" s="127" t="str">
        <f ca="1">IF(OFFSET(PO!N$12,ROW(C139)-ROW(C$12),0)=0,"",OFFSET(PO!N$12,ROW(C139)-ROW(C$12),0))</f>
        <v>VASO SANITARIO SIFONADO CONVENCIONAL PARA PCD SEM FURO FRONTAL COM LOUÇA BRANCA SEM ASSENTO, INCLUSO CONJUNTO DE LIGAÇÃO PARA BACIA SANITÁRIA AJUSTÁVEL - FORNECIMENTO E INSTALAÇÃO. AF_01/2020</v>
      </c>
      <c r="D139" s="129" t="str">
        <f ca="1">IF(OFFSET(PO!O$12,ROW(D139)-ROW(D$12),0)=0,"",OFFSET(PO!O$12,ROW(D139)-ROW(D$12),0))</f>
        <v>UN</v>
      </c>
      <c r="E139" s="165">
        <f ca="1">IF($A139&lt;&gt;"Serviço",0,ROUND(SUMIF($F$9:$Z$9,"&lt;&gt;",$F139:$Z139),15-13*PO!$X$3))</f>
        <v>13</v>
      </c>
      <c r="F139" s="215">
        <v>1</v>
      </c>
      <c r="G139" s="215">
        <v>1</v>
      </c>
      <c r="H139" s="215">
        <v>1</v>
      </c>
      <c r="I139" s="215">
        <v>1</v>
      </c>
      <c r="J139" s="215">
        <v>1</v>
      </c>
      <c r="K139" s="215">
        <v>1</v>
      </c>
      <c r="L139" s="215">
        <v>1</v>
      </c>
      <c r="M139" s="215">
        <v>1</v>
      </c>
      <c r="N139" s="215">
        <v>1</v>
      </c>
      <c r="O139" s="215">
        <v>1</v>
      </c>
      <c r="P139" s="215">
        <v>1</v>
      </c>
      <c r="Q139" s="215">
        <v>1</v>
      </c>
      <c r="R139" s="215">
        <v>1</v>
      </c>
      <c r="S139" s="215"/>
      <c r="T139" s="215"/>
      <c r="U139" s="215"/>
      <c r="V139" s="215"/>
      <c r="W139" s="215"/>
      <c r="X139" s="215"/>
      <c r="Y139" s="215"/>
      <c r="AE139" s="215"/>
    </row>
    <row r="140" spans="1:31" s="4" customFormat="1" ht="12.75">
      <c r="A140" s="128" t="str">
        <f ca="1">OFFSET(PO!J$12,ROW(A140)-ROW($A$12),0)</f>
        <v>Serviço</v>
      </c>
      <c r="B140" s="130" t="str">
        <f ca="1">IF($A140=0,"",OFFSET(PO!K$12,ROW(B140)-ROW(B$12),0))</f>
        <v>1.19.3.</v>
      </c>
      <c r="C140" s="127" t="str">
        <f ca="1">IF(OFFSET(PO!N$12,ROW(C140)-ROW(C$12),0)=0,"",OFFSET(PO!N$12,ROW(C140)-ROW(C$12),0))</f>
        <v xml:space="preserve">ASSENTO SANITARIO DE PLASTICO, TIPO CONVENCIONAL                                                                                                                                                                                                                                                                                                                                                                                                                                                          </v>
      </c>
      <c r="D140" s="129" t="str">
        <f ca="1">IF(OFFSET(PO!O$12,ROW(D140)-ROW(D$12),0)=0,"",OFFSET(PO!O$12,ROW(D140)-ROW(D$12),0))</f>
        <v xml:space="preserve">UN    </v>
      </c>
      <c r="E140" s="165">
        <f ca="1">IF($A140&lt;&gt;"Serviço",0,ROUND(SUMIF($F$9:$Z$9,"&lt;&gt;",$F140:$Z140),15-13*PO!$X$3))</f>
        <v>26</v>
      </c>
      <c r="F140" s="215">
        <v>2</v>
      </c>
      <c r="G140" s="215">
        <v>2</v>
      </c>
      <c r="H140" s="215">
        <v>2</v>
      </c>
      <c r="I140" s="215">
        <v>2</v>
      </c>
      <c r="J140" s="215">
        <v>2</v>
      </c>
      <c r="K140" s="215">
        <v>2</v>
      </c>
      <c r="L140" s="215">
        <v>2</v>
      </c>
      <c r="M140" s="215">
        <v>2</v>
      </c>
      <c r="N140" s="215">
        <v>2</v>
      </c>
      <c r="O140" s="215">
        <v>2</v>
      </c>
      <c r="P140" s="215">
        <v>2</v>
      </c>
      <c r="Q140" s="215">
        <v>2</v>
      </c>
      <c r="R140" s="215">
        <v>2</v>
      </c>
      <c r="S140" s="215"/>
      <c r="T140" s="215"/>
      <c r="U140" s="215"/>
      <c r="V140" s="215"/>
      <c r="W140" s="215"/>
      <c r="X140" s="215"/>
      <c r="Y140" s="215"/>
      <c r="AE140" s="215"/>
    </row>
    <row r="141" spans="1:31" s="4" customFormat="1" ht="26.4">
      <c r="A141" s="128" t="str">
        <f ca="1">OFFSET(PO!J$12,ROW(A141)-ROW($A$12),0)</f>
        <v>Serviço</v>
      </c>
      <c r="B141" s="130" t="str">
        <f ca="1">IF($A141=0,"",OFFSET(PO!K$12,ROW(B141)-ROW(B$12),0))</f>
        <v>1.19.4.</v>
      </c>
      <c r="C141" s="127" t="str">
        <f ca="1">IF(OFFSET(PO!N$12,ROW(C141)-ROW(C$12),0)=0,"",OFFSET(PO!N$12,ROW(C141)-ROW(C$12),0))</f>
        <v xml:space="preserve">VALVULA DE DESCARGA METALICA, BASE 1 1/2 " E ACABAMENTO METALICO CROMADO                                                                                                                                                                                                                                                                                                                                                                                                                                  </v>
      </c>
      <c r="D141" s="129" t="str">
        <f ca="1">IF(OFFSET(PO!O$12,ROW(D141)-ROW(D$12),0)=0,"",OFFSET(PO!O$12,ROW(D141)-ROW(D$12),0))</f>
        <v xml:space="preserve">UN    </v>
      </c>
      <c r="E141" s="165">
        <f ca="1">IF($A141&lt;&gt;"Serviço",0,ROUND(SUMIF($F$9:$Z$9,"&lt;&gt;",$F141:$Z141),15-13*PO!$X$3))</f>
        <v>13</v>
      </c>
      <c r="F141" s="215">
        <v>1</v>
      </c>
      <c r="G141" s="215">
        <v>1</v>
      </c>
      <c r="H141" s="215">
        <v>1</v>
      </c>
      <c r="I141" s="215">
        <v>1</v>
      </c>
      <c r="J141" s="215">
        <v>1</v>
      </c>
      <c r="K141" s="215">
        <v>1</v>
      </c>
      <c r="L141" s="215">
        <v>1</v>
      </c>
      <c r="M141" s="215">
        <v>1</v>
      </c>
      <c r="N141" s="215">
        <v>1</v>
      </c>
      <c r="O141" s="215">
        <v>1</v>
      </c>
      <c r="P141" s="215">
        <v>1</v>
      </c>
      <c r="Q141" s="215">
        <v>1</v>
      </c>
      <c r="R141" s="215">
        <v>1</v>
      </c>
      <c r="S141" s="215"/>
      <c r="T141" s="215"/>
      <c r="U141" s="215"/>
      <c r="V141" s="215"/>
      <c r="W141" s="215"/>
      <c r="X141" s="215"/>
      <c r="Y141" s="215"/>
      <c r="AE141" s="215"/>
    </row>
    <row r="142" spans="1:31" s="4" customFormat="1" ht="66">
      <c r="A142" s="128" t="str">
        <f ca="1">OFFSET(PO!J$12,ROW(A142)-ROW($A$12),0)</f>
        <v>Serviço</v>
      </c>
      <c r="B142" s="130" t="str">
        <f ca="1">IF($A142=0,"",OFFSET(PO!K$12,ROW(B142)-ROW(B$12),0))</f>
        <v>1.19.5.</v>
      </c>
      <c r="C142" s="127" t="str">
        <f ca="1">IF(OFFSET(PO!N$12,ROW(C142)-ROW(C$12),0)=0,"",OFFSET(PO!N$12,ROW(C142)-ROW(C$12),0))</f>
        <v>LAVATÓRIO LOUÇA BRANCA SUSPENSO, 29,5 X 39CM OU EQUIVALENTE, PADRÃO POPULAR, INCLUSO SIFÃO FLEXÍVEL EM PVC, VÁLVULA E ENGATE FLEXÍVEL 30CM EM PLÁSTICO E TORNEIRA CROMADA DE MESA, PADRÃO POPULAR - FORNECIMENTO E INSTALAÇÃO. AF_01/2020</v>
      </c>
      <c r="D142" s="129" t="str">
        <f ca="1">IF(OFFSET(PO!O$12,ROW(D142)-ROW(D$12),0)=0,"",OFFSET(PO!O$12,ROW(D142)-ROW(D$12),0))</f>
        <v>UN</v>
      </c>
      <c r="E142" s="165">
        <f ca="1">IF($A142&lt;&gt;"Serviço",0,ROUND(SUMIF($F$9:$Z$9,"&lt;&gt;",$F142:$Z142),15-13*PO!$X$3))</f>
        <v>26</v>
      </c>
      <c r="F142" s="215">
        <v>2</v>
      </c>
      <c r="G142" s="215">
        <v>2</v>
      </c>
      <c r="H142" s="215">
        <v>2</v>
      </c>
      <c r="I142" s="215">
        <v>2</v>
      </c>
      <c r="J142" s="215">
        <v>2</v>
      </c>
      <c r="K142" s="215">
        <v>2</v>
      </c>
      <c r="L142" s="215">
        <v>2</v>
      </c>
      <c r="M142" s="215">
        <v>2</v>
      </c>
      <c r="N142" s="215">
        <v>2</v>
      </c>
      <c r="O142" s="215">
        <v>2</v>
      </c>
      <c r="P142" s="215">
        <v>2</v>
      </c>
      <c r="Q142" s="215">
        <v>2</v>
      </c>
      <c r="R142" s="215">
        <v>2</v>
      </c>
      <c r="S142" s="215"/>
      <c r="T142" s="215"/>
      <c r="U142" s="215"/>
      <c r="V142" s="215"/>
      <c r="W142" s="215"/>
      <c r="X142" s="215"/>
      <c r="Y142" s="215"/>
      <c r="AE142" s="215"/>
    </row>
    <row r="143" spans="1:31" s="4" customFormat="1" ht="26.4">
      <c r="A143" s="128" t="str">
        <f ca="1">OFFSET(PO!J$12,ROW(A143)-ROW($A$12),0)</f>
        <v>Serviço</v>
      </c>
      <c r="B143" s="130" t="str">
        <f ca="1">IF($A143=0,"",OFFSET(PO!K$12,ROW(B143)-ROW(B$12),0))</f>
        <v>1.19.6.</v>
      </c>
      <c r="C143" s="127" t="str">
        <f ca="1">IF(OFFSET(PO!N$12,ROW(C143)-ROW(C$12),0)=0,"",OFFSET(PO!N$12,ROW(C143)-ROW(C$12),0))</f>
        <v>CHUVEIRO ELÉTRICO COMUM CORPO PLÁSTICO, TIPO DUCHA  FORNECIMENTO E INSTALAÇÃO. AF_01/2020</v>
      </c>
      <c r="D143" s="129" t="str">
        <f ca="1">IF(OFFSET(PO!O$12,ROW(D143)-ROW(D$12),0)=0,"",OFFSET(PO!O$12,ROW(D143)-ROW(D$12),0))</f>
        <v>UN</v>
      </c>
      <c r="E143" s="165">
        <f ca="1">IF($A143&lt;&gt;"Serviço",0,ROUND(SUMIF($F$9:$Z$9,"&lt;&gt;",$F143:$Z143),15-13*PO!$X$3))</f>
        <v>13</v>
      </c>
      <c r="F143" s="215">
        <v>1</v>
      </c>
      <c r="G143" s="215">
        <v>1</v>
      </c>
      <c r="H143" s="215">
        <v>1</v>
      </c>
      <c r="I143" s="215">
        <v>1</v>
      </c>
      <c r="J143" s="215">
        <v>1</v>
      </c>
      <c r="K143" s="215">
        <v>1</v>
      </c>
      <c r="L143" s="215">
        <v>1</v>
      </c>
      <c r="M143" s="215">
        <v>1</v>
      </c>
      <c r="N143" s="215">
        <v>1</v>
      </c>
      <c r="O143" s="215">
        <v>1</v>
      </c>
      <c r="P143" s="215">
        <v>1</v>
      </c>
      <c r="Q143" s="215">
        <v>1</v>
      </c>
      <c r="R143" s="215">
        <v>1</v>
      </c>
      <c r="S143" s="215"/>
      <c r="T143" s="215"/>
      <c r="U143" s="215"/>
      <c r="V143" s="215"/>
      <c r="W143" s="215"/>
      <c r="X143" s="215"/>
      <c r="Y143" s="215"/>
      <c r="AE143" s="215"/>
    </row>
    <row r="144" spans="1:31" s="4" customFormat="1" ht="26.4">
      <c r="A144" s="128" t="str">
        <f ca="1">OFFSET(PO!J$12,ROW(A144)-ROW($A$12),0)</f>
        <v>Serviço</v>
      </c>
      <c r="B144" s="130" t="str">
        <f ca="1">IF($A144=0,"",OFFSET(PO!K$12,ROW(B144)-ROW(B$12),0))</f>
        <v>1.19.7.</v>
      </c>
      <c r="C144" s="127" t="str">
        <f ca="1">IF(OFFSET(PO!N$12,ROW(C144)-ROW(C$12),0)=0,"",OFFSET(PO!N$12,ROW(C144)-ROW(C$12),0))</f>
        <v>TORNEIRA CROMADA DE MESA, 1/2 OU 3/4, PARA LAVATÓRIO, PADRÃO POPULAR - FORNECIMENTO E INSTALAÇÃO. AF_01/2020</v>
      </c>
      <c r="D144" s="129" t="str">
        <f ca="1">IF(OFFSET(PO!O$12,ROW(D144)-ROW(D$12),0)=0,"",OFFSET(PO!O$12,ROW(D144)-ROW(D$12),0))</f>
        <v>UN</v>
      </c>
      <c r="E144" s="165">
        <f ca="1">IF($A144&lt;&gt;"Serviço",0,ROUND(SUMIF($F$9:$Z$9,"&lt;&gt;",$F144:$Z144),15-13*PO!$X$3))</f>
        <v>26</v>
      </c>
      <c r="F144" s="215">
        <v>2</v>
      </c>
      <c r="G144" s="215">
        <v>2</v>
      </c>
      <c r="H144" s="215">
        <v>2</v>
      </c>
      <c r="I144" s="215">
        <v>2</v>
      </c>
      <c r="J144" s="215">
        <v>2</v>
      </c>
      <c r="K144" s="215">
        <v>2</v>
      </c>
      <c r="L144" s="215">
        <v>2</v>
      </c>
      <c r="M144" s="215">
        <v>2</v>
      </c>
      <c r="N144" s="215">
        <v>2</v>
      </c>
      <c r="O144" s="215">
        <v>2</v>
      </c>
      <c r="P144" s="215">
        <v>2</v>
      </c>
      <c r="Q144" s="215">
        <v>2</v>
      </c>
      <c r="R144" s="215">
        <v>2</v>
      </c>
      <c r="S144" s="215"/>
      <c r="T144" s="215"/>
      <c r="U144" s="215"/>
      <c r="V144" s="215"/>
      <c r="W144" s="215"/>
      <c r="X144" s="215"/>
      <c r="Y144" s="215"/>
      <c r="AE144" s="215"/>
    </row>
    <row r="145" spans="1:31" s="4" customFormat="1" ht="26.4">
      <c r="A145" s="128" t="str">
        <f ca="1">OFFSET(PO!J$12,ROW(A145)-ROW($A$12),0)</f>
        <v>Serviço</v>
      </c>
      <c r="B145" s="130" t="str">
        <f ca="1">IF($A145=0,"",OFFSET(PO!K$12,ROW(B145)-ROW(B$12),0))</f>
        <v>1.19.8.</v>
      </c>
      <c r="C145" s="127" t="str">
        <f ca="1">IF(OFFSET(PO!N$12,ROW(C145)-ROW(C$12),0)=0,"",OFFSET(PO!N$12,ROW(C145)-ROW(C$12),0))</f>
        <v>TORNEIRA PLÁSTICA 3/4 PARA TANQUE - FORNECIMENTO E INSTALAÇÃO. AF_01/2020</v>
      </c>
      <c r="D145" s="129" t="str">
        <f ca="1">IF(OFFSET(PO!O$12,ROW(D145)-ROW(D$12),0)=0,"",OFFSET(PO!O$12,ROW(D145)-ROW(D$12),0))</f>
        <v>UN</v>
      </c>
      <c r="E145" s="165">
        <f ca="1">IF($A145&lt;&gt;"Serviço",0,ROUND(SUMIF($F$9:$Z$9,"&lt;&gt;",$F145:$Z145),15-13*PO!$X$3))</f>
        <v>13</v>
      </c>
      <c r="F145" s="215">
        <v>1</v>
      </c>
      <c r="G145" s="215">
        <v>1</v>
      </c>
      <c r="H145" s="215">
        <v>1</v>
      </c>
      <c r="I145" s="215">
        <v>1</v>
      </c>
      <c r="J145" s="215">
        <v>1</v>
      </c>
      <c r="K145" s="215">
        <v>1</v>
      </c>
      <c r="L145" s="215">
        <v>1</v>
      </c>
      <c r="M145" s="215">
        <v>1</v>
      </c>
      <c r="N145" s="215">
        <v>1</v>
      </c>
      <c r="O145" s="215">
        <v>1</v>
      </c>
      <c r="P145" s="215">
        <v>1</v>
      </c>
      <c r="Q145" s="215">
        <v>1</v>
      </c>
      <c r="R145" s="215">
        <v>1</v>
      </c>
      <c r="S145" s="215"/>
      <c r="T145" s="215"/>
      <c r="U145" s="215"/>
      <c r="V145" s="215"/>
      <c r="W145" s="215"/>
      <c r="X145" s="215"/>
      <c r="Y145" s="215"/>
      <c r="AE145" s="215"/>
    </row>
    <row r="146" spans="1:31" s="4" customFormat="1" ht="26.4">
      <c r="A146" s="128" t="str">
        <f ca="1">OFFSET(PO!J$12,ROW(A146)-ROW($A$12),0)</f>
        <v>Serviço</v>
      </c>
      <c r="B146" s="130" t="str">
        <f ca="1">IF($A146=0,"",OFFSET(PO!K$12,ROW(B146)-ROW(B$12),0))</f>
        <v>1.19.9.</v>
      </c>
      <c r="C146" s="127" t="str">
        <f ca="1">IF(OFFSET(PO!N$12,ROW(C146)-ROW(C$12),0)=0,"",OFFSET(PO!N$12,ROW(C146)-ROW(C$12),0))</f>
        <v xml:space="preserve">PAPELEIRA PLASTICA TIPO DISPENSER PARA PAPEL HIGIENICO ROLAO                                                                                                                                                                                                                                                                                                                                                                                                                                              </v>
      </c>
      <c r="D146" s="129" t="str">
        <f ca="1">IF(OFFSET(PO!O$12,ROW(D146)-ROW(D$12),0)=0,"",OFFSET(PO!O$12,ROW(D146)-ROW(D$12),0))</f>
        <v xml:space="preserve">UN    </v>
      </c>
      <c r="E146" s="165">
        <f ca="1">IF($A146&lt;&gt;"Serviço",0,ROUND(SUMIF($F$9:$Z$9,"&lt;&gt;",$F146:$Z146),15-13*PO!$X$3))</f>
        <v>26</v>
      </c>
      <c r="F146" s="215">
        <v>2</v>
      </c>
      <c r="G146" s="215">
        <v>2</v>
      </c>
      <c r="H146" s="215">
        <v>2</v>
      </c>
      <c r="I146" s="215">
        <v>2</v>
      </c>
      <c r="J146" s="215">
        <v>2</v>
      </c>
      <c r="K146" s="215">
        <v>2</v>
      </c>
      <c r="L146" s="215">
        <v>2</v>
      </c>
      <c r="M146" s="215">
        <v>2</v>
      </c>
      <c r="N146" s="215">
        <v>2</v>
      </c>
      <c r="O146" s="215">
        <v>2</v>
      </c>
      <c r="P146" s="215">
        <v>2</v>
      </c>
      <c r="Q146" s="215">
        <v>2</v>
      </c>
      <c r="R146" s="215">
        <v>2</v>
      </c>
      <c r="S146" s="215"/>
      <c r="T146" s="215"/>
      <c r="U146" s="215"/>
      <c r="V146" s="215"/>
      <c r="W146" s="215"/>
      <c r="X146" s="215"/>
      <c r="Y146" s="215"/>
      <c r="AE146" s="215"/>
    </row>
    <row r="147" spans="1:31" s="4" customFormat="1" ht="26.4">
      <c r="A147" s="128" t="str">
        <f ca="1">OFFSET(PO!J$12,ROW(A147)-ROW($A$12),0)</f>
        <v>Serviço</v>
      </c>
      <c r="B147" s="130" t="str">
        <f ca="1">IF($A147=0,"",OFFSET(PO!K$12,ROW(B147)-ROW(B$12),0))</f>
        <v>1.19.10.</v>
      </c>
      <c r="C147" s="127" t="str">
        <f ca="1">IF(OFFSET(PO!N$12,ROW(C147)-ROW(C$12),0)=0,"",OFFSET(PO!N$12,ROW(C147)-ROW(C$12),0))</f>
        <v xml:space="preserve">Trocador de parede para bebê - Dobrável </v>
      </c>
      <c r="D147" s="129" t="str">
        <f ca="1">IF(OFFSET(PO!O$12,ROW(D147)-ROW(D$12),0)=0,"",OFFSET(PO!O$12,ROW(D147)-ROW(D$12),0))</f>
        <v>UNIDADE</v>
      </c>
      <c r="E147" s="165">
        <f ca="1">IF($A147&lt;&gt;"Serviço",0,ROUND(SUMIF($F$9:$Z$9,"&lt;&gt;",$F147:$Z147),15-13*PO!$X$3))</f>
        <v>13</v>
      </c>
      <c r="F147" s="215">
        <v>1</v>
      </c>
      <c r="G147" s="215">
        <v>1</v>
      </c>
      <c r="H147" s="215">
        <v>1</v>
      </c>
      <c r="I147" s="215">
        <v>1</v>
      </c>
      <c r="J147" s="215">
        <v>1</v>
      </c>
      <c r="K147" s="215">
        <v>1</v>
      </c>
      <c r="L147" s="215">
        <v>1</v>
      </c>
      <c r="M147" s="215">
        <v>1</v>
      </c>
      <c r="N147" s="215">
        <v>1</v>
      </c>
      <c r="O147" s="215">
        <v>1</v>
      </c>
      <c r="P147" s="215">
        <v>1</v>
      </c>
      <c r="Q147" s="215">
        <v>1</v>
      </c>
      <c r="R147" s="215">
        <v>1</v>
      </c>
      <c r="S147" s="215"/>
      <c r="T147" s="215"/>
      <c r="U147" s="215"/>
      <c r="V147" s="215"/>
      <c r="W147" s="215"/>
      <c r="X147" s="215"/>
      <c r="Y147" s="215"/>
      <c r="AE147" s="215"/>
    </row>
    <row r="148" spans="1:31" s="4" customFormat="1" ht="39.6">
      <c r="A148" s="128" t="str">
        <f ca="1">OFFSET(PO!J$12,ROW(A148)-ROW($A$12),0)</f>
        <v>Serviço</v>
      </c>
      <c r="B148" s="130" t="str">
        <f ca="1">IF($A148=0,"",OFFSET(PO!K$12,ROW(B148)-ROW(B$12),0))</f>
        <v>1.19.11.</v>
      </c>
      <c r="C148" s="127" t="str">
        <f ca="1">IF(OFFSET(PO!N$12,ROW(C148)-ROW(C$12),0)=0,"",OFFSET(PO!N$12,ROW(C148)-ROW(C$12),0))</f>
        <v>BARRA DE APOIO RETA, EM ALUMINIO, COMPRIMENTO 80 CM,  FIXADA NA PAREDE - FORNECIMENTO E INSTALAÇÃO. AF_01/2020</v>
      </c>
      <c r="D148" s="129" t="str">
        <f ca="1">IF(OFFSET(PO!O$12,ROW(D148)-ROW(D$12),0)=0,"",OFFSET(PO!O$12,ROW(D148)-ROW(D$12),0))</f>
        <v>UN</v>
      </c>
      <c r="E148" s="165">
        <f ca="1">IF($A148&lt;&gt;"Serviço",0,ROUND(SUMIF($F$9:$Z$9,"&lt;&gt;",$F148:$Z148),15-13*PO!$X$3))</f>
        <v>26</v>
      </c>
      <c r="F148" s="215">
        <v>2</v>
      </c>
      <c r="G148" s="215">
        <v>2</v>
      </c>
      <c r="H148" s="215">
        <v>2</v>
      </c>
      <c r="I148" s="215">
        <v>2</v>
      </c>
      <c r="J148" s="215">
        <v>2</v>
      </c>
      <c r="K148" s="215">
        <v>2</v>
      </c>
      <c r="L148" s="215">
        <v>2</v>
      </c>
      <c r="M148" s="215">
        <v>2</v>
      </c>
      <c r="N148" s="215">
        <v>2</v>
      </c>
      <c r="O148" s="215">
        <v>2</v>
      </c>
      <c r="P148" s="215">
        <v>2</v>
      </c>
      <c r="Q148" s="215">
        <v>2</v>
      </c>
      <c r="R148" s="215">
        <v>2</v>
      </c>
      <c r="S148" s="215"/>
      <c r="T148" s="215"/>
      <c r="U148" s="215"/>
      <c r="V148" s="215"/>
      <c r="W148" s="215"/>
      <c r="X148" s="215"/>
      <c r="Y148" s="215"/>
      <c r="AE148" s="215"/>
    </row>
    <row r="149" spans="1:31" s="4" customFormat="1" ht="39.6">
      <c r="A149" s="128" t="str">
        <f ca="1">OFFSET(PO!J$12,ROW(A149)-ROW($A$12),0)</f>
        <v>Serviço</v>
      </c>
      <c r="B149" s="130" t="str">
        <f ca="1">IF($A149=0,"",OFFSET(PO!K$12,ROW(B149)-ROW(B$12),0))</f>
        <v>1.19.12.</v>
      </c>
      <c r="C149" s="127" t="str">
        <f ca="1">IF(OFFSET(PO!N$12,ROW(C149)-ROW(C$12),0)=0,"",OFFSET(PO!N$12,ROW(C149)-ROW(C$12),0))</f>
        <v>BARRA DE APOIO RETA, EM ALUMINIO, COMPRIMENTO 70 CM,  FIXADA NA PAREDE - FORNECIMENTO E INSTALAÇÃO. AF_01/2020</v>
      </c>
      <c r="D149" s="129" t="str">
        <f ca="1">IF(OFFSET(PO!O$12,ROW(D149)-ROW(D$12),0)=0,"",OFFSET(PO!O$12,ROW(D149)-ROW(D$12),0))</f>
        <v>UN</v>
      </c>
      <c r="E149" s="165">
        <f ca="1">IF($A149&lt;&gt;"Serviço",0,ROUND(SUMIF($F$9:$Z$9,"&lt;&gt;",$F149:$Z149),15-13*PO!$X$3))</f>
        <v>13</v>
      </c>
      <c r="F149" s="215">
        <v>1</v>
      </c>
      <c r="G149" s="215">
        <v>1</v>
      </c>
      <c r="H149" s="215">
        <v>1</v>
      </c>
      <c r="I149" s="215">
        <v>1</v>
      </c>
      <c r="J149" s="215">
        <v>1</v>
      </c>
      <c r="K149" s="215">
        <v>1</v>
      </c>
      <c r="L149" s="215">
        <v>1</v>
      </c>
      <c r="M149" s="215">
        <v>1</v>
      </c>
      <c r="N149" s="215">
        <v>1</v>
      </c>
      <c r="O149" s="215">
        <v>1</v>
      </c>
      <c r="P149" s="215">
        <v>1</v>
      </c>
      <c r="Q149" s="215">
        <v>1</v>
      </c>
      <c r="R149" s="215">
        <v>1</v>
      </c>
      <c r="S149" s="215"/>
      <c r="T149" s="215"/>
      <c r="U149" s="215"/>
      <c r="V149" s="215"/>
      <c r="W149" s="215"/>
      <c r="X149" s="215"/>
      <c r="Y149" s="215"/>
      <c r="AE149" s="215"/>
    </row>
    <row r="150" spans="1:31" s="4" customFormat="1" ht="39.6">
      <c r="A150" s="128" t="str">
        <f ca="1">OFFSET(PO!J$12,ROW(A150)-ROW($A$12),0)</f>
        <v>Serviço</v>
      </c>
      <c r="B150" s="130" t="str">
        <f ca="1">IF($A150=0,"",OFFSET(PO!K$12,ROW(B150)-ROW(B$12),0))</f>
        <v>1.19.13.</v>
      </c>
      <c r="C150" s="127" t="str">
        <f ca="1">IF(OFFSET(PO!N$12,ROW(C150)-ROW(C$12),0)=0,"",OFFSET(PO!N$12,ROW(C150)-ROW(C$12),0))</f>
        <v>BARRA DE APOIO RETA, EM ALUMINIO, COMPRIMENTO 60 CM,  FIXADA NA PAREDE - FORNECIMENTO E INSTALAÇÃO. AF_01/2020</v>
      </c>
      <c r="D150" s="129" t="str">
        <f ca="1">IF(OFFSET(PO!O$12,ROW(D150)-ROW(D$12),0)=0,"",OFFSET(PO!O$12,ROW(D150)-ROW(D$12),0))</f>
        <v>UN</v>
      </c>
      <c r="E150" s="165">
        <f ca="1">IF($A150&lt;&gt;"Serviço",0,ROUND(SUMIF($F$9:$Z$9,"&lt;&gt;",$F150:$Z150),15-13*PO!$X$3))</f>
        <v>13</v>
      </c>
      <c r="F150" s="215">
        <v>1</v>
      </c>
      <c r="G150" s="215">
        <v>1</v>
      </c>
      <c r="H150" s="215">
        <v>1</v>
      </c>
      <c r="I150" s="215">
        <v>1</v>
      </c>
      <c r="J150" s="215">
        <v>1</v>
      </c>
      <c r="K150" s="215">
        <v>1</v>
      </c>
      <c r="L150" s="215">
        <v>1</v>
      </c>
      <c r="M150" s="215">
        <v>1</v>
      </c>
      <c r="N150" s="215">
        <v>1</v>
      </c>
      <c r="O150" s="215">
        <v>1</v>
      </c>
      <c r="P150" s="215">
        <v>1</v>
      </c>
      <c r="Q150" s="215">
        <v>1</v>
      </c>
      <c r="R150" s="215">
        <v>1</v>
      </c>
      <c r="S150" s="215"/>
      <c r="T150" s="215"/>
      <c r="U150" s="215"/>
      <c r="V150" s="215"/>
      <c r="W150" s="215"/>
      <c r="X150" s="215"/>
      <c r="Y150" s="215"/>
      <c r="AE150" s="215"/>
    </row>
    <row r="151" spans="1:31" s="4" customFormat="1" ht="26.4">
      <c r="A151" s="128" t="str">
        <f ca="1">OFFSET(PO!J$12,ROW(A151)-ROW($A$12),0)</f>
        <v>Serviço</v>
      </c>
      <c r="B151" s="130" t="str">
        <f ca="1">IF($A151=0,"",OFFSET(PO!K$12,ROW(B151)-ROW(B$12),0))</f>
        <v>1.19.14.</v>
      </c>
      <c r="C151" s="127" t="str">
        <f ca="1">IF(OFFSET(PO!N$12,ROW(C151)-ROW(C$12),0)=0,"",OFFSET(PO!N$12,ROW(C151)-ROW(C$12),0))</f>
        <v xml:space="preserve">Barra de apoio lateral para pia, em U em inox - Fixada na parede - Fornecimento e instalação </v>
      </c>
      <c r="D151" s="129" t="str">
        <f ca="1">IF(OFFSET(PO!O$12,ROW(D151)-ROW(D$12),0)=0,"",OFFSET(PO!O$12,ROW(D151)-ROW(D$12),0))</f>
        <v>UNIDADE</v>
      </c>
      <c r="E151" s="165">
        <f ca="1">IF($A151&lt;&gt;"Serviço",0,ROUND(SUMIF($F$9:$Z$9,"&lt;&gt;",$F151:$Z151),15-13*PO!$X$3))</f>
        <v>13</v>
      </c>
      <c r="F151" s="215">
        <v>1</v>
      </c>
      <c r="G151" s="215">
        <v>1</v>
      </c>
      <c r="H151" s="215">
        <v>1</v>
      </c>
      <c r="I151" s="215">
        <v>1</v>
      </c>
      <c r="J151" s="215">
        <v>1</v>
      </c>
      <c r="K151" s="215">
        <v>1</v>
      </c>
      <c r="L151" s="215">
        <v>1</v>
      </c>
      <c r="M151" s="215">
        <v>1</v>
      </c>
      <c r="N151" s="215">
        <v>1</v>
      </c>
      <c r="O151" s="215">
        <v>1</v>
      </c>
      <c r="P151" s="215">
        <v>1</v>
      </c>
      <c r="Q151" s="215">
        <v>1</v>
      </c>
      <c r="R151" s="215">
        <v>1</v>
      </c>
      <c r="S151" s="215"/>
      <c r="T151" s="215"/>
      <c r="U151" s="215"/>
      <c r="V151" s="215"/>
      <c r="W151" s="215"/>
      <c r="X151" s="215"/>
      <c r="Y151" s="215"/>
      <c r="AE151" s="215"/>
    </row>
    <row r="152" spans="1:31" s="4" customFormat="1" ht="12.75">
      <c r="A152" s="128" t="str">
        <f ca="1">OFFSET(PO!J$12,ROW(A152)-ROW($A$12),0)</f>
        <v>Nível 2</v>
      </c>
      <c r="B152" s="130" t="str">
        <f ca="1">IF($A152=0,"",OFFSET(PO!K$12,ROW(B152)-ROW(B$12),0))</f>
        <v>1.20.</v>
      </c>
      <c r="C152" s="127" t="str">
        <f ca="1">IF(OFFSET(PO!N$12,ROW(C152)-ROW(C$12),0)=0,"",OFFSET(PO!N$12,ROW(C152)-ROW(C$12),0))</f>
        <v xml:space="preserve">Instalação Elétrica </v>
      </c>
      <c r="D152" s="129" t="str">
        <f ca="1">IF(OFFSET(PO!O$12,ROW(D152)-ROW(D$12),0)=0,"",OFFSET(PO!O$12,ROW(D152)-ROW(D$12),0))</f>
        <v/>
      </c>
      <c r="E152" s="165">
        <f ca="1">IF($A152&lt;&gt;"Serviço",0,ROUND(SUMIF($F$9:$Z$9,"&lt;&gt;",$F152:$Z152),15-13*PO!$X$3))</f>
        <v>0</v>
      </c>
      <c r="F152" s="215"/>
      <c r="G152" s="215"/>
      <c r="H152" s="215"/>
      <c r="I152" s="215"/>
      <c r="J152" s="215"/>
      <c r="K152" s="215"/>
      <c r="L152" s="215"/>
      <c r="M152" s="215"/>
      <c r="N152" s="215"/>
      <c r="O152" s="215"/>
      <c r="P152" s="215"/>
      <c r="Q152" s="215"/>
      <c r="R152" s="215"/>
      <c r="S152" s="215"/>
      <c r="T152" s="215"/>
      <c r="U152" s="215"/>
      <c r="V152" s="215"/>
      <c r="W152" s="215"/>
      <c r="X152" s="215"/>
      <c r="Y152" s="215"/>
      <c r="AE152" s="215"/>
    </row>
    <row r="153" spans="1:31" s="4" customFormat="1" ht="39.6">
      <c r="A153" s="128" t="str">
        <f ca="1">OFFSET(PO!J$12,ROW(A153)-ROW($A$12),0)</f>
        <v>Serviço</v>
      </c>
      <c r="B153" s="130" t="str">
        <f ca="1">IF($A153=0,"",OFFSET(PO!K$12,ROW(B153)-ROW(B$12),0))</f>
        <v>1.20.1.</v>
      </c>
      <c r="C153" s="127" t="str">
        <f ca="1">IF(OFFSET(PO!N$12,ROW(C153)-ROW(C$12),0)=0,"",OFFSET(PO!N$12,ROW(C153)-ROW(C$12),0))</f>
        <v>QUADRO DE DISTRIBUIÇÃO DE ENERGIA EM PVC, DE EMBUTIR, SEM BARRAMENTO, PARA 6 DISJUNTORES - FORNECIMENTO E INSTALAÇÃO. AF_10/2020</v>
      </c>
      <c r="D153" s="129" t="str">
        <f ca="1">IF(OFFSET(PO!O$12,ROW(D153)-ROW(D$12),0)=0,"",OFFSET(PO!O$12,ROW(D153)-ROW(D$12),0))</f>
        <v>UN</v>
      </c>
      <c r="E153" s="165">
        <f ca="1">IF($A153&lt;&gt;"Serviço",0,ROUND(SUMIF($F$9:$Z$9,"&lt;&gt;",$F153:$Z153),15-13*PO!$X$3))</f>
        <v>13</v>
      </c>
      <c r="F153" s="215">
        <v>1</v>
      </c>
      <c r="G153" s="215">
        <v>1</v>
      </c>
      <c r="H153" s="215">
        <v>1</v>
      </c>
      <c r="I153" s="215">
        <v>1</v>
      </c>
      <c r="J153" s="215">
        <v>1</v>
      </c>
      <c r="K153" s="215">
        <v>1</v>
      </c>
      <c r="L153" s="215">
        <v>1</v>
      </c>
      <c r="M153" s="215">
        <v>1</v>
      </c>
      <c r="N153" s="215">
        <v>1</v>
      </c>
      <c r="O153" s="215">
        <v>1</v>
      </c>
      <c r="P153" s="215">
        <v>1</v>
      </c>
      <c r="Q153" s="215">
        <v>1</v>
      </c>
      <c r="R153" s="215">
        <v>1</v>
      </c>
      <c r="S153" s="215"/>
      <c r="T153" s="215"/>
      <c r="U153" s="215"/>
      <c r="V153" s="215"/>
      <c r="W153" s="215"/>
      <c r="X153" s="215"/>
      <c r="Y153" s="215"/>
      <c r="AE153" s="215"/>
    </row>
    <row r="154" spans="1:31" s="4" customFormat="1" ht="39.6">
      <c r="A154" s="128" t="str">
        <f ca="1">OFFSET(PO!J$12,ROW(A154)-ROW($A$12),0)</f>
        <v>Serviço</v>
      </c>
      <c r="B154" s="130" t="str">
        <f ca="1">IF($A154=0,"",OFFSET(PO!K$12,ROW(B154)-ROW(B$12),0))</f>
        <v>1.20.2.</v>
      </c>
      <c r="C154" s="127" t="str">
        <f ca="1">IF(OFFSET(PO!N$12,ROW(C154)-ROW(C$12),0)=0,"",OFFSET(PO!N$12,ROW(C154)-ROW(C$12),0))</f>
        <v>ELETRODUTO FLEXÍVEL CORRUGADO, PVC, DN 25 MM (3/4"), PARA CIRCUITOS TERMINAIS, INSTALADO EM PAREDE - FORNECIMENTO E INSTALAÇÃO. AF_03/2023</v>
      </c>
      <c r="D154" s="129" t="str">
        <f ca="1">IF(OFFSET(PO!O$12,ROW(D154)-ROW(D$12),0)=0,"",OFFSET(PO!O$12,ROW(D154)-ROW(D$12),0))</f>
        <v>M</v>
      </c>
      <c r="E154" s="165">
        <f ca="1">IF($A154&lt;&gt;"Serviço",0,ROUND(SUMIF($F$9:$Z$9,"&lt;&gt;",$F154:$Z154),15-13*PO!$X$3))</f>
        <v>491.4</v>
      </c>
      <c r="F154" s="215">
        <v>37.8</v>
      </c>
      <c r="G154" s="215">
        <v>37.8</v>
      </c>
      <c r="H154" s="215">
        <v>37.8</v>
      </c>
      <c r="I154" s="215">
        <v>37.8</v>
      </c>
      <c r="J154" s="215">
        <v>37.8</v>
      </c>
      <c r="K154" s="215">
        <v>37.8</v>
      </c>
      <c r="L154" s="215">
        <v>37.8</v>
      </c>
      <c r="M154" s="215">
        <v>37.8</v>
      </c>
      <c r="N154" s="215">
        <v>37.8</v>
      </c>
      <c r="O154" s="215">
        <v>37.8</v>
      </c>
      <c r="P154" s="215">
        <v>37.8</v>
      </c>
      <c r="Q154" s="215">
        <v>37.8</v>
      </c>
      <c r="R154" s="215">
        <v>37.8</v>
      </c>
      <c r="S154" s="215"/>
      <c r="T154" s="215"/>
      <c r="U154" s="215"/>
      <c r="V154" s="215"/>
      <c r="W154" s="215"/>
      <c r="X154" s="215"/>
      <c r="Y154" s="215"/>
      <c r="AE154" s="215"/>
    </row>
    <row r="155" spans="1:31" s="4" customFormat="1" ht="39.6">
      <c r="A155" s="128" t="str">
        <f ca="1">OFFSET(PO!J$12,ROW(A155)-ROW($A$12),0)</f>
        <v>Serviço</v>
      </c>
      <c r="B155" s="130" t="str">
        <f ca="1">IF($A155=0,"",OFFSET(PO!K$12,ROW(B155)-ROW(B$12),0))</f>
        <v>1.20.3.</v>
      </c>
      <c r="C155" s="127" t="str">
        <f ca="1">IF(OFFSET(PO!N$12,ROW(C155)-ROW(C$12),0)=0,"",OFFSET(PO!N$12,ROW(C155)-ROW(C$12),0))</f>
        <v>ELETRODUTO RÍGIDO ROSCÁVEL, PVC, DN 25 MM (3/4"), PARA CIRCUITOS TERMINAIS, INSTALADO EM FORRO - FORNECIMENTO E INSTALAÇÃO. AF_03/2023</v>
      </c>
      <c r="D155" s="129" t="str">
        <f ca="1">IF(OFFSET(PO!O$12,ROW(D155)-ROW(D$12),0)=0,"",OFFSET(PO!O$12,ROW(D155)-ROW(D$12),0))</f>
        <v>M</v>
      </c>
      <c r="E155" s="165">
        <f ca="1">IF($A155&lt;&gt;"Serviço",0,ROUND(SUMIF($F$9:$Z$9,"&lt;&gt;",$F155:$Z155),15-13*PO!$X$3))</f>
        <v>780</v>
      </c>
      <c r="F155" s="215">
        <v>60</v>
      </c>
      <c r="G155" s="215">
        <v>60</v>
      </c>
      <c r="H155" s="215">
        <v>60</v>
      </c>
      <c r="I155" s="215">
        <v>60</v>
      </c>
      <c r="J155" s="215">
        <v>60</v>
      </c>
      <c r="K155" s="215">
        <v>60</v>
      </c>
      <c r="L155" s="215">
        <v>60</v>
      </c>
      <c r="M155" s="215">
        <v>60</v>
      </c>
      <c r="N155" s="215">
        <v>60</v>
      </c>
      <c r="O155" s="215">
        <v>60</v>
      </c>
      <c r="P155" s="215">
        <v>60</v>
      </c>
      <c r="Q155" s="215">
        <v>60</v>
      </c>
      <c r="R155" s="215">
        <v>60</v>
      </c>
      <c r="S155" s="215"/>
      <c r="T155" s="215"/>
      <c r="U155" s="215"/>
      <c r="V155" s="215"/>
      <c r="W155" s="215"/>
      <c r="X155" s="215"/>
      <c r="Y155" s="215"/>
      <c r="AE155" s="215"/>
    </row>
    <row r="156" spans="1:31" s="4" customFormat="1" ht="39.6">
      <c r="A156" s="128" t="str">
        <f ca="1">OFFSET(PO!J$12,ROW(A156)-ROW($A$12),0)</f>
        <v>Serviço</v>
      </c>
      <c r="B156" s="130" t="str">
        <f ca="1">IF($A156=0,"",OFFSET(PO!K$12,ROW(B156)-ROW(B$12),0))</f>
        <v>1.20.4.</v>
      </c>
      <c r="C156" s="127" t="str">
        <f ca="1">IF(OFFSET(PO!N$12,ROW(C156)-ROW(C$12),0)=0,"",OFFSET(PO!N$12,ROW(C156)-ROW(C$12),0))</f>
        <v>ELETRODUTO FLEXÍVEL CORRUGADO REFORÇADO, PVC, DN 25 MM (3/4"), PARA CIRCUITOS TERMINAIS, INSTALADO EM LAJE - FORNECIMENTO E INSTALAÇÃO. AF_03/2023</v>
      </c>
      <c r="D156" s="129" t="str">
        <f ca="1">IF(OFFSET(PO!O$12,ROW(D156)-ROW(D$12),0)=0,"",OFFSET(PO!O$12,ROW(D156)-ROW(D$12),0))</f>
        <v>M</v>
      </c>
      <c r="E156" s="165">
        <f ca="1">IF($A156&lt;&gt;"Serviço",0,ROUND(SUMIF($F$9:$Z$9,"&lt;&gt;",$F156:$Z156),15-13*PO!$X$3))</f>
        <v>169</v>
      </c>
      <c r="F156" s="215">
        <v>13</v>
      </c>
      <c r="G156" s="215">
        <v>13</v>
      </c>
      <c r="H156" s="215">
        <v>13</v>
      </c>
      <c r="I156" s="215">
        <v>13</v>
      </c>
      <c r="J156" s="215">
        <v>13</v>
      </c>
      <c r="K156" s="215">
        <v>13</v>
      </c>
      <c r="L156" s="215">
        <v>13</v>
      </c>
      <c r="M156" s="215">
        <v>13</v>
      </c>
      <c r="N156" s="215">
        <v>13</v>
      </c>
      <c r="O156" s="215">
        <v>13</v>
      </c>
      <c r="P156" s="215">
        <v>13</v>
      </c>
      <c r="Q156" s="215">
        <v>13</v>
      </c>
      <c r="R156" s="215">
        <v>13</v>
      </c>
      <c r="S156" s="215"/>
      <c r="T156" s="215"/>
      <c r="U156" s="215"/>
      <c r="V156" s="215"/>
      <c r="W156" s="215"/>
      <c r="X156" s="215"/>
      <c r="Y156" s="215"/>
      <c r="AE156" s="215"/>
    </row>
    <row r="157" spans="1:31" s="4" customFormat="1" ht="26.4">
      <c r="A157" s="128" t="str">
        <f ca="1">OFFSET(PO!J$12,ROW(A157)-ROW($A$12),0)</f>
        <v>Serviço</v>
      </c>
      <c r="B157" s="130" t="str">
        <f ca="1">IF($A157=0,"",OFFSET(PO!K$12,ROW(B157)-ROW(B$12),0))</f>
        <v>1.20.5.</v>
      </c>
      <c r="C157" s="127" t="str">
        <f ca="1">IF(OFFSET(PO!N$12,ROW(C157)-ROW(C$12),0)=0,"",OFFSET(PO!N$12,ROW(C157)-ROW(C$12),0))</f>
        <v>CAIXA OCTOGONAL 3" X 3", PVC, INSTALADA EM LAJE - FORNECIMENTO E INSTALAÇÃO. AF_03/2023</v>
      </c>
      <c r="D157" s="129" t="str">
        <f ca="1">IF(OFFSET(PO!O$12,ROW(D157)-ROW(D$12),0)=0,"",OFFSET(PO!O$12,ROW(D157)-ROW(D$12),0))</f>
        <v>UN</v>
      </c>
      <c r="E157" s="165">
        <f ca="1">IF($A157&lt;&gt;"Serviço",0,ROUND(SUMIF($F$9:$Z$9,"&lt;&gt;",$F157:$Z157),15-13*PO!$X$3))</f>
        <v>39</v>
      </c>
      <c r="F157" s="215">
        <v>3</v>
      </c>
      <c r="G157" s="215">
        <v>3</v>
      </c>
      <c r="H157" s="215">
        <v>3</v>
      </c>
      <c r="I157" s="215">
        <v>3</v>
      </c>
      <c r="J157" s="215">
        <v>3</v>
      </c>
      <c r="K157" s="215">
        <v>3</v>
      </c>
      <c r="L157" s="215">
        <v>3</v>
      </c>
      <c r="M157" s="215">
        <v>3</v>
      </c>
      <c r="N157" s="215">
        <v>3</v>
      </c>
      <c r="O157" s="215">
        <v>3</v>
      </c>
      <c r="P157" s="215">
        <v>3</v>
      </c>
      <c r="Q157" s="215">
        <v>3</v>
      </c>
      <c r="R157" s="215">
        <v>3</v>
      </c>
      <c r="S157" s="215"/>
      <c r="T157" s="215"/>
      <c r="U157" s="215"/>
      <c r="V157" s="215"/>
      <c r="W157" s="215"/>
      <c r="X157" s="215"/>
      <c r="Y157" s="215"/>
      <c r="AE157" s="215"/>
    </row>
    <row r="158" spans="1:31" s="4" customFormat="1" ht="39.6">
      <c r="A158" s="128" t="str">
        <f ca="1">OFFSET(PO!J$12,ROW(A158)-ROW($A$12),0)</f>
        <v>Serviço</v>
      </c>
      <c r="B158" s="130" t="str">
        <f ca="1">IF($A158=0,"",OFFSET(PO!K$12,ROW(B158)-ROW(B$12),0))</f>
        <v>1.20.6.</v>
      </c>
      <c r="C158" s="127" t="str">
        <f ca="1">IF(OFFSET(PO!N$12,ROW(C158)-ROW(C$12),0)=0,"",OFFSET(PO!N$12,ROW(C158)-ROW(C$12),0))</f>
        <v>CAIXA RETANGULAR 4" X 2" MÉDIA (1,30 M DO PISO), PVC, INSTALADA EM PAREDE - FORNECIMENTO E INSTALAÇÃO. AF_03/2023</v>
      </c>
      <c r="D158" s="129" t="str">
        <f ca="1">IF(OFFSET(PO!O$12,ROW(D158)-ROW(D$12),0)=0,"",OFFSET(PO!O$12,ROW(D158)-ROW(D$12),0))</f>
        <v>UN</v>
      </c>
      <c r="E158" s="165">
        <f ca="1">IF($A158&lt;&gt;"Serviço",0,ROUND(SUMIF($F$9:$Z$9,"&lt;&gt;",$F158:$Z158),15-13*PO!$X$3))</f>
        <v>299</v>
      </c>
      <c r="F158" s="215">
        <v>23</v>
      </c>
      <c r="G158" s="215">
        <v>23</v>
      </c>
      <c r="H158" s="215">
        <v>23</v>
      </c>
      <c r="I158" s="215">
        <v>23</v>
      </c>
      <c r="J158" s="215">
        <v>23</v>
      </c>
      <c r="K158" s="215">
        <v>23</v>
      </c>
      <c r="L158" s="215">
        <v>23</v>
      </c>
      <c r="M158" s="215">
        <v>23</v>
      </c>
      <c r="N158" s="215">
        <v>23</v>
      </c>
      <c r="O158" s="215">
        <v>23</v>
      </c>
      <c r="P158" s="215">
        <v>23</v>
      </c>
      <c r="Q158" s="215">
        <v>23</v>
      </c>
      <c r="R158" s="215">
        <v>23</v>
      </c>
      <c r="S158" s="215"/>
      <c r="T158" s="215"/>
      <c r="U158" s="215"/>
      <c r="V158" s="215"/>
      <c r="W158" s="215"/>
      <c r="X158" s="215"/>
      <c r="Y158" s="215"/>
      <c r="AE158" s="215"/>
    </row>
    <row r="159" spans="1:31" s="4" customFormat="1" ht="39.6">
      <c r="A159" s="128" t="str">
        <f ca="1">OFFSET(PO!J$12,ROW(A159)-ROW($A$12),0)</f>
        <v>Serviço</v>
      </c>
      <c r="B159" s="130" t="str">
        <f ca="1">IF($A159=0,"",OFFSET(PO!K$12,ROW(B159)-ROW(B$12),0))</f>
        <v>1.20.7.</v>
      </c>
      <c r="C159" s="127" t="str">
        <f ca="1">IF(OFFSET(PO!N$12,ROW(C159)-ROW(C$12),0)=0,"",OFFSET(PO!N$12,ROW(C159)-ROW(C$12),0))</f>
        <v>CABO DE COBRE FLEXÍVEL ISOLADO, 1,5 MM², ANTI-CHAMA 450/750 V, PARA CIRCUITOS TERMINAIS - FORNECIMENTO E INSTALAÇÃO. AF_03/2023</v>
      </c>
      <c r="D159" s="129" t="str">
        <f ca="1">IF(OFFSET(PO!O$12,ROW(D159)-ROW(D$12),0)=0,"",OFFSET(PO!O$12,ROW(D159)-ROW(D$12),0))</f>
        <v>M</v>
      </c>
      <c r="E159" s="165">
        <f ca="1">IF($A159&lt;&gt;"Serviço",0,ROUND(SUMIF($F$9:$Z$9,"&lt;&gt;",$F159:$Z159),15-13*PO!$X$3))</f>
        <v>694.2</v>
      </c>
      <c r="F159" s="215">
        <v>53.4</v>
      </c>
      <c r="G159" s="215">
        <v>53.4</v>
      </c>
      <c r="H159" s="215">
        <v>53.4</v>
      </c>
      <c r="I159" s="215">
        <v>53.4</v>
      </c>
      <c r="J159" s="215">
        <v>53.4</v>
      </c>
      <c r="K159" s="215">
        <v>53.4</v>
      </c>
      <c r="L159" s="215">
        <v>53.4</v>
      </c>
      <c r="M159" s="215">
        <v>53.4</v>
      </c>
      <c r="N159" s="215">
        <v>53.4</v>
      </c>
      <c r="O159" s="215">
        <v>53.4</v>
      </c>
      <c r="P159" s="215">
        <v>53.4</v>
      </c>
      <c r="Q159" s="215">
        <v>53.4</v>
      </c>
      <c r="R159" s="215">
        <v>53.4</v>
      </c>
      <c r="S159" s="215"/>
      <c r="T159" s="215"/>
      <c r="U159" s="215"/>
      <c r="V159" s="215"/>
      <c r="W159" s="215"/>
      <c r="X159" s="215"/>
      <c r="Y159" s="215"/>
      <c r="AE159" s="215"/>
    </row>
    <row r="160" spans="1:31" s="4" customFormat="1" ht="39.6">
      <c r="A160" s="128" t="str">
        <f ca="1">OFFSET(PO!J$12,ROW(A160)-ROW($A$12),0)</f>
        <v>Serviço</v>
      </c>
      <c r="B160" s="130" t="str">
        <f ca="1">IF($A160=0,"",OFFSET(PO!K$12,ROW(B160)-ROW(B$12),0))</f>
        <v>1.20.8.</v>
      </c>
      <c r="C160" s="127" t="str">
        <f ca="1">IF(OFFSET(PO!N$12,ROW(C160)-ROW(C$12),0)=0,"",OFFSET(PO!N$12,ROW(C160)-ROW(C$12),0))</f>
        <v>CABO DE COBRE FLEXÍVEL ISOLADO, 2,5 MM², ANTI-CHAMA 450/750 V, PARA CIRCUITOS TERMINAIS - FORNECIMENTO E INSTALAÇÃO. AF_03/2023</v>
      </c>
      <c r="D160" s="129" t="str">
        <f ca="1">IF(OFFSET(PO!O$12,ROW(D160)-ROW(D$12),0)=0,"",OFFSET(PO!O$12,ROW(D160)-ROW(D$12),0))</f>
        <v>M</v>
      </c>
      <c r="E160" s="165">
        <f ca="1">IF($A160&lt;&gt;"Serviço",0,ROUND(SUMIF($F$9:$Z$9,"&lt;&gt;",$F160:$Z160),15-13*PO!$X$3))</f>
        <v>845</v>
      </c>
      <c r="F160" s="215">
        <v>65</v>
      </c>
      <c r="G160" s="215">
        <v>65</v>
      </c>
      <c r="H160" s="215">
        <v>65</v>
      </c>
      <c r="I160" s="215">
        <v>65</v>
      </c>
      <c r="J160" s="215">
        <v>65</v>
      </c>
      <c r="K160" s="215">
        <v>65</v>
      </c>
      <c r="L160" s="215">
        <v>65</v>
      </c>
      <c r="M160" s="215">
        <v>65</v>
      </c>
      <c r="N160" s="215">
        <v>65</v>
      </c>
      <c r="O160" s="215">
        <v>65</v>
      </c>
      <c r="P160" s="215">
        <v>65</v>
      </c>
      <c r="Q160" s="215">
        <v>65</v>
      </c>
      <c r="R160" s="215">
        <v>65</v>
      </c>
      <c r="S160" s="215"/>
      <c r="T160" s="215"/>
      <c r="U160" s="215"/>
      <c r="V160" s="215"/>
      <c r="W160" s="215"/>
      <c r="X160" s="215"/>
      <c r="Y160" s="215"/>
      <c r="AE160" s="215"/>
    </row>
    <row r="161" spans="1:31" s="4" customFormat="1" ht="39.6">
      <c r="A161" s="128" t="str">
        <f ca="1">OFFSET(PO!J$12,ROW(A161)-ROW($A$12),0)</f>
        <v>Serviço</v>
      </c>
      <c r="B161" s="130" t="str">
        <f ca="1">IF($A161=0,"",OFFSET(PO!K$12,ROW(B161)-ROW(B$12),0))</f>
        <v>1.20.9.</v>
      </c>
      <c r="C161" s="127" t="str">
        <f ca="1">IF(OFFSET(PO!N$12,ROW(C161)-ROW(C$12),0)=0,"",OFFSET(PO!N$12,ROW(C161)-ROW(C$12),0))</f>
        <v>CABO DE COBRE FLEXÍVEL ISOLADO, 4 MM², ANTI-CHAMA 450/750 V, PARA CIRCUITOS TERMINAIS - FORNECIMENTO E INSTALAÇÃO. AF_03/2023</v>
      </c>
      <c r="D161" s="129" t="str">
        <f ca="1">IF(OFFSET(PO!O$12,ROW(D161)-ROW(D$12),0)=0,"",OFFSET(PO!O$12,ROW(D161)-ROW(D$12),0))</f>
        <v>M</v>
      </c>
      <c r="E161" s="165">
        <f ca="1">IF($A161&lt;&gt;"Serviço",0,ROUND(SUMIF($F$9:$Z$9,"&lt;&gt;",$F161:$Z161),15-13*PO!$X$3))</f>
        <v>84.5</v>
      </c>
      <c r="F161" s="215">
        <v>6.5</v>
      </c>
      <c r="G161" s="215">
        <v>6.5</v>
      </c>
      <c r="H161" s="215">
        <v>6.5</v>
      </c>
      <c r="I161" s="215">
        <v>6.5</v>
      </c>
      <c r="J161" s="215">
        <v>6.5</v>
      </c>
      <c r="K161" s="215">
        <v>6.5</v>
      </c>
      <c r="L161" s="215">
        <v>6.5</v>
      </c>
      <c r="M161" s="215">
        <v>6.5</v>
      </c>
      <c r="N161" s="215">
        <v>6.5</v>
      </c>
      <c r="O161" s="215">
        <v>6.5</v>
      </c>
      <c r="P161" s="215">
        <v>6.5</v>
      </c>
      <c r="Q161" s="215">
        <v>6.5</v>
      </c>
      <c r="R161" s="215">
        <v>6.5</v>
      </c>
      <c r="S161" s="215"/>
      <c r="T161" s="215"/>
      <c r="U161" s="215"/>
      <c r="V161" s="215"/>
      <c r="W161" s="215"/>
      <c r="X161" s="215"/>
      <c r="Y161" s="215"/>
      <c r="AE161" s="215"/>
    </row>
    <row r="162" spans="1:31" s="4" customFormat="1" ht="39.6">
      <c r="A162" s="128" t="str">
        <f ca="1">OFFSET(PO!J$12,ROW(A162)-ROW($A$12),0)</f>
        <v>Serviço</v>
      </c>
      <c r="B162" s="130" t="str">
        <f ca="1">IF($A162=0,"",OFFSET(PO!K$12,ROW(B162)-ROW(B$12),0))</f>
        <v>1.20.10.</v>
      </c>
      <c r="C162" s="127" t="str">
        <f ca="1">IF(OFFSET(PO!N$12,ROW(C162)-ROW(C$12),0)=0,"",OFFSET(PO!N$12,ROW(C162)-ROW(C$12),0))</f>
        <v>CABO DE COBRE FLEXÍVEL ISOLADO, 6 MM², ANTI-CHAMA 450/750 V, PARA CIRCUITOS TERMINAIS - FORNECIMENTO E INSTALAÇÃO. AF_03/2023</v>
      </c>
      <c r="D162" s="129" t="str">
        <f ca="1">IF(OFFSET(PO!O$12,ROW(D162)-ROW(D$12),0)=0,"",OFFSET(PO!O$12,ROW(D162)-ROW(D$12),0))</f>
        <v>M</v>
      </c>
      <c r="E162" s="165">
        <f ca="1">IF($A162&lt;&gt;"Serviço",0,ROUND(SUMIF($F$9:$Z$9,"&lt;&gt;",$F162:$Z162),15-13*PO!$X$3))</f>
        <v>36.4</v>
      </c>
      <c r="F162" s="215">
        <v>2.8</v>
      </c>
      <c r="G162" s="215">
        <v>2.8</v>
      </c>
      <c r="H162" s="215">
        <v>2.8</v>
      </c>
      <c r="I162" s="215">
        <v>2.8</v>
      </c>
      <c r="J162" s="215">
        <v>2.8</v>
      </c>
      <c r="K162" s="215">
        <v>2.8</v>
      </c>
      <c r="L162" s="215">
        <v>2.8</v>
      </c>
      <c r="M162" s="215">
        <v>2.8</v>
      </c>
      <c r="N162" s="215">
        <v>2.8</v>
      </c>
      <c r="O162" s="215">
        <v>2.8</v>
      </c>
      <c r="P162" s="215">
        <v>2.8</v>
      </c>
      <c r="Q162" s="215">
        <v>2.8</v>
      </c>
      <c r="R162" s="215">
        <v>2.8</v>
      </c>
      <c r="S162" s="215"/>
      <c r="T162" s="215"/>
      <c r="U162" s="215"/>
      <c r="V162" s="215"/>
      <c r="W162" s="215"/>
      <c r="X162" s="215"/>
      <c r="Y162" s="215"/>
      <c r="AE162" s="215"/>
    </row>
    <row r="163" spans="1:31" s="4" customFormat="1" ht="39.6">
      <c r="A163" s="128" t="str">
        <f ca="1">OFFSET(PO!J$12,ROW(A163)-ROW($A$12),0)</f>
        <v>Serviço</v>
      </c>
      <c r="B163" s="130" t="str">
        <f ca="1">IF($A163=0,"",OFFSET(PO!K$12,ROW(B163)-ROW(B$12),0))</f>
        <v>1.20.11.</v>
      </c>
      <c r="C163" s="127" t="str">
        <f ca="1">IF(OFFSET(PO!N$12,ROW(C163)-ROW(C$12),0)=0,"",OFFSET(PO!N$12,ROW(C163)-ROW(C$12),0))</f>
        <v>CABO DE COBRE FLEXÍVEL ISOLADO, 16 MM², ANTI-CHAMA 450/750 V, PARA CIRCUITOS TERMINAIS - FORNECIMENTO E INSTALAÇÃO. AF_03/2023</v>
      </c>
      <c r="D163" s="129" t="str">
        <f ca="1">IF(OFFSET(PO!O$12,ROW(D163)-ROW(D$12),0)=0,"",OFFSET(PO!O$12,ROW(D163)-ROW(D$12),0))</f>
        <v>M</v>
      </c>
      <c r="E163" s="165">
        <f ca="1">IF($A163&lt;&gt;"Serviço",0,ROUND(SUMIF($F$9:$Z$9,"&lt;&gt;",$F163:$Z163),15-13*PO!$X$3))</f>
        <v>195</v>
      </c>
      <c r="F163" s="215">
        <v>15</v>
      </c>
      <c r="G163" s="215">
        <v>15</v>
      </c>
      <c r="H163" s="215">
        <v>15</v>
      </c>
      <c r="I163" s="215">
        <v>15</v>
      </c>
      <c r="J163" s="215">
        <v>15</v>
      </c>
      <c r="K163" s="215">
        <v>15</v>
      </c>
      <c r="L163" s="215">
        <v>15</v>
      </c>
      <c r="M163" s="215">
        <v>15</v>
      </c>
      <c r="N163" s="215">
        <v>15</v>
      </c>
      <c r="O163" s="215">
        <v>15</v>
      </c>
      <c r="P163" s="215">
        <v>15</v>
      </c>
      <c r="Q163" s="215">
        <v>15</v>
      </c>
      <c r="R163" s="215">
        <v>15</v>
      </c>
      <c r="S163" s="215"/>
      <c r="T163" s="215"/>
      <c r="U163" s="215"/>
      <c r="V163" s="215"/>
      <c r="W163" s="215"/>
      <c r="X163" s="215"/>
      <c r="Y163" s="215"/>
      <c r="AE163" s="215"/>
    </row>
    <row r="164" spans="1:31" s="4" customFormat="1" ht="26.4">
      <c r="A164" s="128" t="str">
        <f ca="1">OFFSET(PO!J$12,ROW(A164)-ROW($A$12),0)</f>
        <v>Serviço</v>
      </c>
      <c r="B164" s="130" t="str">
        <f ca="1">IF($A164=0,"",OFFSET(PO!K$12,ROW(B164)-ROW(B$12),0))</f>
        <v>1.20.12.</v>
      </c>
      <c r="C164" s="127" t="str">
        <f ca="1">IF(OFFSET(PO!N$12,ROW(C164)-ROW(C$12),0)=0,"",OFFSET(PO!N$12,ROW(C164)-ROW(C$12),0))</f>
        <v>INTERRUPTOR SIMPLES (2 MÓDULOS), 10A/250V, INCLUINDO SUPORTE E PLACA - FORNECIMENTO E INSTALAÇÃO. AF_03/2023</v>
      </c>
      <c r="D164" s="129" t="str">
        <f ca="1">IF(OFFSET(PO!O$12,ROW(D164)-ROW(D$12),0)=0,"",OFFSET(PO!O$12,ROW(D164)-ROW(D$12),0))</f>
        <v>UN</v>
      </c>
      <c r="E164" s="165">
        <f ca="1">IF($A164&lt;&gt;"Serviço",0,ROUND(SUMIF($F$9:$Z$9,"&lt;&gt;",$F164:$Z164),15-13*PO!$X$3))</f>
        <v>26</v>
      </c>
      <c r="F164" s="215">
        <v>2</v>
      </c>
      <c r="G164" s="215">
        <v>2</v>
      </c>
      <c r="H164" s="215">
        <v>2</v>
      </c>
      <c r="I164" s="215">
        <v>2</v>
      </c>
      <c r="J164" s="215">
        <v>2</v>
      </c>
      <c r="K164" s="215">
        <v>2</v>
      </c>
      <c r="L164" s="215">
        <v>2</v>
      </c>
      <c r="M164" s="215">
        <v>2</v>
      </c>
      <c r="N164" s="215">
        <v>2</v>
      </c>
      <c r="O164" s="215">
        <v>2</v>
      </c>
      <c r="P164" s="215">
        <v>2</v>
      </c>
      <c r="Q164" s="215">
        <v>2</v>
      </c>
      <c r="R164" s="215">
        <v>2</v>
      </c>
      <c r="S164" s="215"/>
      <c r="T164" s="215"/>
      <c r="U164" s="215"/>
      <c r="V164" s="215"/>
      <c r="W164" s="215"/>
      <c r="X164" s="215"/>
      <c r="Y164" s="215"/>
      <c r="AE164" s="215"/>
    </row>
    <row r="165" spans="1:31" s="4" customFormat="1" ht="39.6">
      <c r="A165" s="128" t="str">
        <f ca="1">OFFSET(PO!J$12,ROW(A165)-ROW($A$12),0)</f>
        <v>Serviço</v>
      </c>
      <c r="B165" s="130" t="str">
        <f ca="1">IF($A165=0,"",OFFSET(PO!K$12,ROW(B165)-ROW(B$12),0))</f>
        <v>1.20.13.</v>
      </c>
      <c r="C165" s="127" t="str">
        <f ca="1">IF(OFFSET(PO!N$12,ROW(C165)-ROW(C$12),0)=0,"",OFFSET(PO!N$12,ROW(C165)-ROW(C$12),0))</f>
        <v>INTERRUPTOR SIMPLES (1 MÓDULO) COM INTERRUPTOR PARALELO (1 MÓDULO), 10A/250V, INCLUINDO SUPORTE E PLACA - FORNECIMENTO E INSTALAÇÃO. AF_03/2023</v>
      </c>
      <c r="D165" s="129" t="str">
        <f ca="1">IF(OFFSET(PO!O$12,ROW(D165)-ROW(D$12),0)=0,"",OFFSET(PO!O$12,ROW(D165)-ROW(D$12),0))</f>
        <v>UN</v>
      </c>
      <c r="E165" s="165">
        <f ca="1">IF($A165&lt;&gt;"Serviço",0,ROUND(SUMIF($F$9:$Z$9,"&lt;&gt;",$F165:$Z165),15-13*PO!$X$3))</f>
        <v>52</v>
      </c>
      <c r="F165" s="215">
        <v>4</v>
      </c>
      <c r="G165" s="215">
        <v>4</v>
      </c>
      <c r="H165" s="215">
        <v>4</v>
      </c>
      <c r="I165" s="215">
        <v>4</v>
      </c>
      <c r="J165" s="215">
        <v>4</v>
      </c>
      <c r="K165" s="215">
        <v>4</v>
      </c>
      <c r="L165" s="215">
        <v>4</v>
      </c>
      <c r="M165" s="215">
        <v>4</v>
      </c>
      <c r="N165" s="215">
        <v>4</v>
      </c>
      <c r="O165" s="215">
        <v>4</v>
      </c>
      <c r="P165" s="215">
        <v>4</v>
      </c>
      <c r="Q165" s="215">
        <v>4</v>
      </c>
      <c r="R165" s="215">
        <v>4</v>
      </c>
      <c r="S165" s="215"/>
      <c r="T165" s="215"/>
      <c r="U165" s="215"/>
      <c r="V165" s="215"/>
      <c r="W165" s="215"/>
      <c r="X165" s="215"/>
      <c r="Y165" s="215"/>
      <c r="AE165" s="215"/>
    </row>
    <row r="166" spans="1:31" s="4" customFormat="1" ht="26.4">
      <c r="A166" s="128" t="str">
        <f ca="1">OFFSET(PO!J$12,ROW(A166)-ROW($A$12),0)</f>
        <v>Serviço</v>
      </c>
      <c r="B166" s="130" t="str">
        <f ca="1">IF($A166=0,"",OFFSET(PO!K$12,ROW(B166)-ROW(B$12),0))</f>
        <v>1.20.14.</v>
      </c>
      <c r="C166" s="127" t="str">
        <f ca="1">IF(OFFSET(PO!N$12,ROW(C166)-ROW(C$12),0)=0,"",OFFSET(PO!N$12,ROW(C166)-ROW(C$12),0))</f>
        <v>INTERRUPTOR PARALELO (1 MÓDULO), 10A/250V, INCLUINDO SUPORTE E PLACA - FORNECIMENTO E INSTALAÇÃO. AF_03/2023</v>
      </c>
      <c r="D166" s="129" t="str">
        <f ca="1">IF(OFFSET(PO!O$12,ROW(D166)-ROW(D$12),0)=0,"",OFFSET(PO!O$12,ROW(D166)-ROW(D$12),0))</f>
        <v>UN</v>
      </c>
      <c r="E166" s="165">
        <f ca="1">IF($A166&lt;&gt;"Serviço",0,ROUND(SUMIF($F$9:$Z$9,"&lt;&gt;",$F166:$Z166),15-13*PO!$X$3))</f>
        <v>26</v>
      </c>
      <c r="F166" s="215">
        <v>2</v>
      </c>
      <c r="G166" s="215">
        <v>2</v>
      </c>
      <c r="H166" s="215">
        <v>2</v>
      </c>
      <c r="I166" s="215">
        <v>2</v>
      </c>
      <c r="J166" s="215">
        <v>2</v>
      </c>
      <c r="K166" s="215">
        <v>2</v>
      </c>
      <c r="L166" s="215">
        <v>2</v>
      </c>
      <c r="M166" s="215">
        <v>2</v>
      </c>
      <c r="N166" s="215">
        <v>2</v>
      </c>
      <c r="O166" s="215">
        <v>2</v>
      </c>
      <c r="P166" s="215">
        <v>2</v>
      </c>
      <c r="Q166" s="215">
        <v>2</v>
      </c>
      <c r="R166" s="215">
        <v>2</v>
      </c>
      <c r="S166" s="215"/>
      <c r="T166" s="215"/>
      <c r="U166" s="215"/>
      <c r="V166" s="215"/>
      <c r="W166" s="215"/>
      <c r="X166" s="215"/>
      <c r="Y166" s="215"/>
      <c r="AE166" s="215"/>
    </row>
    <row r="167" spans="1:31" s="4" customFormat="1" ht="26.4">
      <c r="A167" s="128" t="str">
        <f ca="1">OFFSET(PO!J$12,ROW(A167)-ROW($A$12),0)</f>
        <v>Serviço</v>
      </c>
      <c r="B167" s="130" t="str">
        <f ca="1">IF($A167=0,"",OFFSET(PO!K$12,ROW(B167)-ROW(B$12),0))</f>
        <v>1.20.15.</v>
      </c>
      <c r="C167" s="127" t="str">
        <f ca="1">IF(OFFSET(PO!N$12,ROW(C167)-ROW(C$12),0)=0,"",OFFSET(PO!N$12,ROW(C167)-ROW(C$12),0))</f>
        <v>TOMADA BAIXA DE EMBUTIR (1 MÓDULO), 2P+T 10 A, INCLUINDO SUPORTE E PLACA - FORNECIMENTO E INSTALAÇÃO. AF_03/2023</v>
      </c>
      <c r="D167" s="129" t="str">
        <f ca="1">IF(OFFSET(PO!O$12,ROW(D167)-ROW(D$12),0)=0,"",OFFSET(PO!O$12,ROW(D167)-ROW(D$12),0))</f>
        <v>UN</v>
      </c>
      <c r="E167" s="165">
        <f ca="1">IF($A167&lt;&gt;"Serviço",0,ROUND(SUMIF($F$9:$Z$9,"&lt;&gt;",$F167:$Z167),15-13*PO!$X$3))</f>
        <v>39</v>
      </c>
      <c r="F167" s="215">
        <v>3</v>
      </c>
      <c r="G167" s="215">
        <v>3</v>
      </c>
      <c r="H167" s="215">
        <v>3</v>
      </c>
      <c r="I167" s="215">
        <v>3</v>
      </c>
      <c r="J167" s="215">
        <v>3</v>
      </c>
      <c r="K167" s="215">
        <v>3</v>
      </c>
      <c r="L167" s="215">
        <v>3</v>
      </c>
      <c r="M167" s="215">
        <v>3</v>
      </c>
      <c r="N167" s="215">
        <v>3</v>
      </c>
      <c r="O167" s="215">
        <v>3</v>
      </c>
      <c r="P167" s="215">
        <v>3</v>
      </c>
      <c r="Q167" s="215">
        <v>3</v>
      </c>
      <c r="R167" s="215">
        <v>3</v>
      </c>
      <c r="S167" s="215"/>
      <c r="T167" s="215"/>
      <c r="U167" s="215"/>
      <c r="V167" s="215"/>
      <c r="W167" s="215"/>
      <c r="X167" s="215"/>
      <c r="Y167" s="215"/>
      <c r="AE167" s="215"/>
    </row>
    <row r="168" spans="1:31" s="4" customFormat="1" ht="39.6">
      <c r="A168" s="128" t="str">
        <f ca="1">OFFSET(PO!J$12,ROW(A168)-ROW($A$12),0)</f>
        <v>Serviço</v>
      </c>
      <c r="B168" s="130" t="str">
        <f ca="1">IF($A168=0,"",OFFSET(PO!K$12,ROW(B168)-ROW(B$12),0))</f>
        <v>1.20.16.</v>
      </c>
      <c r="C168" s="127" t="str">
        <f ca="1">IF(OFFSET(PO!N$12,ROW(C168)-ROW(C$12),0)=0,"",OFFSET(PO!N$12,ROW(C168)-ROW(C$12),0))</f>
        <v>TOMADA MÉDIA DE EMBUTIR (2 MÓDULOS), 2P+T 10 A, INCLUINDO SUPORTE E PLACA - FORNECIMENTO E INSTALAÇÃO. AF_03/2023</v>
      </c>
      <c r="D168" s="129" t="str">
        <f ca="1">IF(OFFSET(PO!O$12,ROW(D168)-ROW(D$12),0)=0,"",OFFSET(PO!O$12,ROW(D168)-ROW(D$12),0))</f>
        <v>UN</v>
      </c>
      <c r="E168" s="165">
        <f ca="1">IF($A168&lt;&gt;"Serviço",0,ROUND(SUMIF($F$9:$Z$9,"&lt;&gt;",$F168:$Z168),15-13*PO!$X$3))</f>
        <v>65</v>
      </c>
      <c r="F168" s="215">
        <v>5</v>
      </c>
      <c r="G168" s="215">
        <v>5</v>
      </c>
      <c r="H168" s="215">
        <v>5</v>
      </c>
      <c r="I168" s="215">
        <v>5</v>
      </c>
      <c r="J168" s="215">
        <v>5</v>
      </c>
      <c r="K168" s="215">
        <v>5</v>
      </c>
      <c r="L168" s="215">
        <v>5</v>
      </c>
      <c r="M168" s="215">
        <v>5</v>
      </c>
      <c r="N168" s="215">
        <v>5</v>
      </c>
      <c r="O168" s="215">
        <v>5</v>
      </c>
      <c r="P168" s="215">
        <v>5</v>
      </c>
      <c r="Q168" s="215">
        <v>5</v>
      </c>
      <c r="R168" s="215">
        <v>5</v>
      </c>
      <c r="S168" s="215"/>
      <c r="T168" s="215"/>
      <c r="U168" s="215"/>
      <c r="V168" s="215"/>
      <c r="W168" s="215"/>
      <c r="X168" s="215"/>
      <c r="Y168" s="215"/>
      <c r="AE168" s="215"/>
    </row>
    <row r="169" spans="1:31" s="4" customFormat="1" ht="39.6">
      <c r="A169" s="128" t="str">
        <f ca="1">OFFSET(PO!J$12,ROW(A169)-ROW($A$12),0)</f>
        <v>Serviço</v>
      </c>
      <c r="B169" s="130" t="str">
        <f ca="1">IF($A169=0,"",OFFSET(PO!K$12,ROW(B169)-ROW(B$12),0))</f>
        <v>1.20.17.</v>
      </c>
      <c r="C169" s="127" t="str">
        <f ca="1">IF(OFFSET(PO!N$12,ROW(C169)-ROW(C$12),0)=0,"",OFFSET(PO!N$12,ROW(C169)-ROW(C$12),0))</f>
        <v>INTERRUPTOR PARALELO (1 MÓDULO) COM 2 TOMADAS DE EMBUTIR 2P+T 10 A, INCLUINDO SUPORTE E PLACA - FORNECIMENTO E INSTALAÇÃO. AF_03/2023</v>
      </c>
      <c r="D169" s="129" t="str">
        <f ca="1">IF(OFFSET(PO!O$12,ROW(D169)-ROW(D$12),0)=0,"",OFFSET(PO!O$12,ROW(D169)-ROW(D$12),0))</f>
        <v>UN</v>
      </c>
      <c r="E169" s="165">
        <f ca="1">IF($A169&lt;&gt;"Serviço",0,ROUND(SUMIF($F$9:$Z$9,"&lt;&gt;",$F169:$Z169),15-13*PO!$X$3))</f>
        <v>13</v>
      </c>
      <c r="F169" s="215">
        <v>1</v>
      </c>
      <c r="G169" s="215">
        <v>1</v>
      </c>
      <c r="H169" s="215">
        <v>1</v>
      </c>
      <c r="I169" s="215">
        <v>1</v>
      </c>
      <c r="J169" s="215">
        <v>1</v>
      </c>
      <c r="K169" s="215">
        <v>1</v>
      </c>
      <c r="L169" s="215">
        <v>1</v>
      </c>
      <c r="M169" s="215">
        <v>1</v>
      </c>
      <c r="N169" s="215">
        <v>1</v>
      </c>
      <c r="O169" s="215">
        <v>1</v>
      </c>
      <c r="P169" s="215">
        <v>1</v>
      </c>
      <c r="Q169" s="215">
        <v>1</v>
      </c>
      <c r="R169" s="215">
        <v>1</v>
      </c>
      <c r="S169" s="215"/>
      <c r="T169" s="215"/>
      <c r="U169" s="215"/>
      <c r="V169" s="215"/>
      <c r="W169" s="215"/>
      <c r="X169" s="215"/>
      <c r="Y169" s="215"/>
      <c r="AE169" s="215"/>
    </row>
    <row r="170" spans="1:31" s="4" customFormat="1" ht="26.4">
      <c r="A170" s="128" t="str">
        <f ca="1">OFFSET(PO!J$12,ROW(A170)-ROW($A$12),0)</f>
        <v>Serviço</v>
      </c>
      <c r="B170" s="130" t="str">
        <f ca="1">IF($A170=0,"",OFFSET(PO!K$12,ROW(B170)-ROW(B$12),0))</f>
        <v>1.20.18.</v>
      </c>
      <c r="C170" s="127" t="str">
        <f ca="1">IF(OFFSET(PO!N$12,ROW(C170)-ROW(C$12),0)=0,"",OFFSET(PO!N$12,ROW(C170)-ROW(C$12),0))</f>
        <v>TOMADA MÉDIA DE EMBUTIR (1 MÓDULO), 2P+T 10 A, INCLUINDO SUPORTE E PLACA - FORNECIMENTO E INSTALAÇÃO. AF_03/2023</v>
      </c>
      <c r="D170" s="129" t="str">
        <f ca="1">IF(OFFSET(PO!O$12,ROW(D170)-ROW(D$12),0)=0,"",OFFSET(PO!O$12,ROW(D170)-ROW(D$12),0))</f>
        <v>UN</v>
      </c>
      <c r="E170" s="165">
        <f ca="1">IF($A170&lt;&gt;"Serviço",0,ROUND(SUMIF($F$9:$Z$9,"&lt;&gt;",$F170:$Z170),15-13*PO!$X$3))</f>
        <v>39</v>
      </c>
      <c r="F170" s="215">
        <v>3</v>
      </c>
      <c r="G170" s="215">
        <v>3</v>
      </c>
      <c r="H170" s="215">
        <v>3</v>
      </c>
      <c r="I170" s="215">
        <v>3</v>
      </c>
      <c r="J170" s="215">
        <v>3</v>
      </c>
      <c r="K170" s="215">
        <v>3</v>
      </c>
      <c r="L170" s="215">
        <v>3</v>
      </c>
      <c r="M170" s="215">
        <v>3</v>
      </c>
      <c r="N170" s="215">
        <v>3</v>
      </c>
      <c r="O170" s="215">
        <v>3</v>
      </c>
      <c r="P170" s="215">
        <v>3</v>
      </c>
      <c r="Q170" s="215">
        <v>3</v>
      </c>
      <c r="R170" s="215">
        <v>3</v>
      </c>
      <c r="S170" s="215"/>
      <c r="T170" s="215"/>
      <c r="U170" s="215"/>
      <c r="V170" s="215"/>
      <c r="W170" s="215"/>
      <c r="X170" s="215"/>
      <c r="Y170" s="215"/>
      <c r="AE170" s="215"/>
    </row>
    <row r="171" spans="1:31" s="4" customFormat="1" ht="26.4">
      <c r="A171" s="128" t="str">
        <f ca="1">OFFSET(PO!J$12,ROW(A171)-ROW($A$12),0)</f>
        <v>Serviço</v>
      </c>
      <c r="B171" s="130" t="str">
        <f ca="1">IF($A171=0,"",OFFSET(PO!K$12,ROW(B171)-ROW(B$12),0))</f>
        <v>1.20.19.</v>
      </c>
      <c r="C171" s="127" t="str">
        <f ca="1">IF(OFFSET(PO!N$12,ROW(C171)-ROW(C$12),0)=0,"",OFFSET(PO!N$12,ROW(C171)-ROW(C$12),0))</f>
        <v xml:space="preserve">LUMINARIA DE TETO PLAFON/PLAFONIER EM PLASTICO COM BASE E27, POTENCIA MAXIMA 60 W (NAO INCLUI LAMPADA)                                                                                                                                                                                                                                                                                                                                                                                                    </v>
      </c>
      <c r="D171" s="129" t="str">
        <f ca="1">IF(OFFSET(PO!O$12,ROW(D171)-ROW(D$12),0)=0,"",OFFSET(PO!O$12,ROW(D171)-ROW(D$12),0))</f>
        <v xml:space="preserve">UN    </v>
      </c>
      <c r="E171" s="165">
        <f ca="1">IF($A171&lt;&gt;"Serviço",0,ROUND(SUMIF($F$9:$Z$9,"&lt;&gt;",$F171:$Z171),15-13*PO!$X$3))</f>
        <v>156</v>
      </c>
      <c r="F171" s="215">
        <v>12</v>
      </c>
      <c r="G171" s="215">
        <v>12</v>
      </c>
      <c r="H171" s="215">
        <v>12</v>
      </c>
      <c r="I171" s="215">
        <v>12</v>
      </c>
      <c r="J171" s="215">
        <v>12</v>
      </c>
      <c r="K171" s="215">
        <v>12</v>
      </c>
      <c r="L171" s="215">
        <v>12</v>
      </c>
      <c r="M171" s="215">
        <v>12</v>
      </c>
      <c r="N171" s="215">
        <v>12</v>
      </c>
      <c r="O171" s="215">
        <v>12</v>
      </c>
      <c r="P171" s="215">
        <v>12</v>
      </c>
      <c r="Q171" s="215">
        <v>12</v>
      </c>
      <c r="R171" s="215">
        <v>12</v>
      </c>
      <c r="S171" s="215"/>
      <c r="T171" s="215"/>
      <c r="U171" s="215"/>
      <c r="V171" s="215"/>
      <c r="W171" s="215"/>
      <c r="X171" s="215"/>
      <c r="Y171" s="215"/>
      <c r="AE171" s="215"/>
    </row>
    <row r="172" spans="1:31" s="4" customFormat="1" ht="26.4">
      <c r="A172" s="128" t="str">
        <f ca="1">OFFSET(PO!J$12,ROW(A172)-ROW($A$12),0)</f>
        <v>Serviço</v>
      </c>
      <c r="B172" s="130" t="str">
        <f ca="1">IF($A172=0,"",OFFSET(PO!K$12,ROW(B172)-ROW(B$12),0))</f>
        <v>1.20.20.</v>
      </c>
      <c r="C172" s="127" t="str">
        <f ca="1">IF(OFFSET(PO!N$12,ROW(C172)-ROW(C$12),0)=0,"",OFFSET(PO!N$12,ROW(C172)-ROW(C$12),0))</f>
        <v>LÂMPADA COMPACTA DE LED 10 W, BASE E27 - FORNECIMENTO E INSTALAÇÃO. AF_02/2020</v>
      </c>
      <c r="D172" s="129" t="str">
        <f ca="1">IF(OFFSET(PO!O$12,ROW(D172)-ROW(D$12),0)=0,"",OFFSET(PO!O$12,ROW(D172)-ROW(D$12),0))</f>
        <v>UN</v>
      </c>
      <c r="E172" s="165">
        <f ca="1">IF($A172&lt;&gt;"Serviço",0,ROUND(SUMIF($F$9:$Z$9,"&lt;&gt;",$F172:$Z172),15-13*PO!$X$3))</f>
        <v>156</v>
      </c>
      <c r="F172" s="215">
        <v>12</v>
      </c>
      <c r="G172" s="215">
        <v>12</v>
      </c>
      <c r="H172" s="215">
        <v>12</v>
      </c>
      <c r="I172" s="215">
        <v>12</v>
      </c>
      <c r="J172" s="215">
        <v>12</v>
      </c>
      <c r="K172" s="215">
        <v>12</v>
      </c>
      <c r="L172" s="215">
        <v>12</v>
      </c>
      <c r="M172" s="215">
        <v>12</v>
      </c>
      <c r="N172" s="215">
        <v>12</v>
      </c>
      <c r="O172" s="215">
        <v>12</v>
      </c>
      <c r="P172" s="215">
        <v>12</v>
      </c>
      <c r="Q172" s="215">
        <v>12</v>
      </c>
      <c r="R172" s="215">
        <v>12</v>
      </c>
      <c r="S172" s="215"/>
      <c r="T172" s="215"/>
      <c r="U172" s="215"/>
      <c r="V172" s="215"/>
      <c r="W172" s="215"/>
      <c r="X172" s="215"/>
      <c r="Y172" s="215"/>
      <c r="AE172" s="215"/>
    </row>
    <row r="173" spans="1:31" s="4" customFormat="1" ht="39.6">
      <c r="A173" s="128" t="str">
        <f ca="1">OFFSET(PO!J$12,ROW(A173)-ROW($A$12),0)</f>
        <v>Serviço</v>
      </c>
      <c r="B173" s="130" t="str">
        <f ca="1">IF($A173=0,"",OFFSET(PO!K$12,ROW(B173)-ROW(B$12),0))</f>
        <v>1.20.21.</v>
      </c>
      <c r="C173" s="127" t="str">
        <f ca="1">IF(OFFSET(PO!N$12,ROW(C173)-ROW(C$12),0)=0,"",OFFSET(PO!N$12,ROW(C173)-ROW(C$12),0))</f>
        <v>LUMINÁRIA ARANDELA TIPO MEIA LUA, DE SOBREPOR, COM 1 LÂMPADA LED DE 6 W, SEM REATOR - FORNECIMENTO E INSTALAÇÃO. AF_02/2020</v>
      </c>
      <c r="D173" s="129" t="str">
        <f ca="1">IF(OFFSET(PO!O$12,ROW(D173)-ROW(D$12),0)=0,"",OFFSET(PO!O$12,ROW(D173)-ROW(D$12),0))</f>
        <v>UN</v>
      </c>
      <c r="E173" s="165">
        <f ca="1">IF($A173&lt;&gt;"Serviço",0,ROUND(SUMIF($F$9:$Z$9,"&lt;&gt;",$F173:$Z173),15-13*PO!$X$3))</f>
        <v>65</v>
      </c>
      <c r="F173" s="215">
        <v>5</v>
      </c>
      <c r="G173" s="215">
        <v>5</v>
      </c>
      <c r="H173" s="215">
        <v>5</v>
      </c>
      <c r="I173" s="215">
        <v>5</v>
      </c>
      <c r="J173" s="215">
        <v>5</v>
      </c>
      <c r="K173" s="215">
        <v>5</v>
      </c>
      <c r="L173" s="215">
        <v>5</v>
      </c>
      <c r="M173" s="215">
        <v>5</v>
      </c>
      <c r="N173" s="215">
        <v>5</v>
      </c>
      <c r="O173" s="215">
        <v>5</v>
      </c>
      <c r="P173" s="215">
        <v>5</v>
      </c>
      <c r="Q173" s="215">
        <v>5</v>
      </c>
      <c r="R173" s="215">
        <v>5</v>
      </c>
      <c r="S173" s="215"/>
      <c r="T173" s="215"/>
      <c r="U173" s="215"/>
      <c r="V173" s="215"/>
      <c r="W173" s="215"/>
      <c r="X173" s="215"/>
      <c r="Y173" s="215"/>
      <c r="AE173" s="215"/>
    </row>
    <row r="174" spans="1:31" s="4" customFormat="1" ht="12.7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AE174" s="83"/>
    </row>
    <row r="175" spans="2:31" s="4" customFormat="1" ht="12.75">
      <c r="B175" s="9"/>
      <c r="C175" s="14"/>
      <c r="D175" s="9"/>
      <c r="E175" s="16"/>
      <c r="F175" s="16"/>
      <c r="G175" s="16"/>
      <c r="H175" s="16"/>
      <c r="I175" s="16"/>
      <c r="J175" s="16"/>
      <c r="K175" s="16"/>
      <c r="L175" s="16"/>
      <c r="M175" s="16"/>
      <c r="N175" s="16"/>
      <c r="O175" s="16"/>
      <c r="P175" s="16"/>
      <c r="Q175" s="16"/>
      <c r="R175" s="16"/>
      <c r="S175" s="16"/>
      <c r="T175" s="16"/>
      <c r="U175" s="16"/>
      <c r="V175" s="16"/>
      <c r="W175" s="16"/>
      <c r="X175" s="16"/>
      <c r="Y175" s="16"/>
      <c r="AE175" s="16"/>
    </row>
    <row r="176" spans="2:31" s="4" customFormat="1" ht="12.75">
      <c r="B176" s="372" t="str">
        <f>PO!$K$185</f>
        <v>Fontoura Xavier /RS</v>
      </c>
      <c r="C176" s="372"/>
      <c r="D176" s="9"/>
      <c r="E176" s="16"/>
      <c r="F176" s="16"/>
      <c r="G176" s="16"/>
      <c r="H176" s="16"/>
      <c r="I176" s="16"/>
      <c r="J176" s="16"/>
      <c r="K176" s="16"/>
      <c r="L176" s="16"/>
      <c r="M176" s="16"/>
      <c r="N176" s="16"/>
      <c r="O176" s="16"/>
      <c r="P176" s="16"/>
      <c r="Q176" s="16"/>
      <c r="R176" s="16"/>
      <c r="S176" s="16"/>
      <c r="T176" s="16"/>
      <c r="U176" s="16"/>
      <c r="V176" s="16"/>
      <c r="W176" s="16"/>
      <c r="X176" s="16"/>
      <c r="Y176" s="16"/>
      <c r="AE176" s="16"/>
    </row>
    <row r="177" spans="2:31" s="4" customFormat="1" ht="12.75">
      <c r="B177" s="113" t="s">
        <v>120</v>
      </c>
      <c r="C177" s="14"/>
      <c r="D177" s="9"/>
      <c r="E177" s="16"/>
      <c r="F177" s="16"/>
      <c r="G177" s="16"/>
      <c r="H177" s="16"/>
      <c r="I177" s="16"/>
      <c r="J177" s="16"/>
      <c r="K177" s="16"/>
      <c r="L177" s="16"/>
      <c r="M177" s="16"/>
      <c r="N177" s="16"/>
      <c r="O177" s="16"/>
      <c r="P177" s="16"/>
      <c r="Q177" s="16"/>
      <c r="R177" s="16"/>
      <c r="S177" s="16"/>
      <c r="T177" s="16"/>
      <c r="U177" s="16"/>
      <c r="V177" s="16"/>
      <c r="W177" s="16"/>
      <c r="X177" s="16"/>
      <c r="Y177" s="16"/>
      <c r="AE177" s="16"/>
    </row>
    <row r="178" spans="2:31" s="4" customFormat="1" ht="12.75">
      <c r="B178" s="14"/>
      <c r="C178" s="14"/>
      <c r="D178" s="9"/>
      <c r="E178" s="16"/>
      <c r="F178" s="16"/>
      <c r="G178" s="16"/>
      <c r="H178" s="16"/>
      <c r="I178" s="16"/>
      <c r="J178" s="16"/>
      <c r="K178" s="16"/>
      <c r="L178" s="16"/>
      <c r="M178" s="16"/>
      <c r="N178" s="16"/>
      <c r="O178" s="16"/>
      <c r="P178" s="16"/>
      <c r="Q178" s="16"/>
      <c r="R178" s="16"/>
      <c r="S178" s="16"/>
      <c r="T178" s="16"/>
      <c r="U178" s="16"/>
      <c r="V178" s="16"/>
      <c r="W178" s="16"/>
      <c r="X178" s="16"/>
      <c r="Y178" s="16"/>
      <c r="AE178" s="16"/>
    </row>
    <row r="179" spans="2:31" s="4" customFormat="1" ht="12.75">
      <c r="B179" s="373">
        <f ca="1">PO!$K$188</f>
        <v>45148</v>
      </c>
      <c r="C179" s="373"/>
      <c r="D179" s="9"/>
      <c r="E179" s="16"/>
      <c r="F179" s="16"/>
      <c r="G179" s="16"/>
      <c r="H179" s="16"/>
      <c r="I179" s="16"/>
      <c r="J179" s="16"/>
      <c r="K179" s="16"/>
      <c r="L179" s="16"/>
      <c r="M179" s="16"/>
      <c r="N179" s="16"/>
      <c r="O179" s="16"/>
      <c r="P179" s="16"/>
      <c r="Q179" s="16"/>
      <c r="R179" s="16"/>
      <c r="S179" s="16"/>
      <c r="T179" s="16"/>
      <c r="U179" s="16"/>
      <c r="V179" s="16"/>
      <c r="W179" s="16"/>
      <c r="X179" s="16"/>
      <c r="Y179" s="16"/>
      <c r="AE179" s="16"/>
    </row>
    <row r="180" spans="2:31" s="4" customFormat="1" ht="12.75">
      <c r="B180" s="142" t="s">
        <v>121</v>
      </c>
      <c r="C180" s="143"/>
      <c r="D180" s="9"/>
      <c r="E180" s="16"/>
      <c r="F180" s="16"/>
      <c r="G180" s="16"/>
      <c r="H180" s="16"/>
      <c r="I180" s="16"/>
      <c r="J180" s="16"/>
      <c r="K180" s="16"/>
      <c r="L180" s="16"/>
      <c r="M180" s="16"/>
      <c r="N180" s="16"/>
      <c r="O180" s="16"/>
      <c r="P180" s="16"/>
      <c r="Q180" s="16"/>
      <c r="R180" s="16"/>
      <c r="S180" s="16"/>
      <c r="T180" s="16"/>
      <c r="U180" s="16"/>
      <c r="V180" s="16"/>
      <c r="W180" s="16"/>
      <c r="X180" s="16"/>
      <c r="Y180" s="16"/>
      <c r="AE180" s="16"/>
    </row>
  </sheetData>
  <sheetProtection algorithmName="SHA-512" hashValue="A5P+JUJc+02IlHWMtIbgEtGP/cAJEZBp+I1Me4o/wAG1B7JEl+drSMFmFy4IKOmTrh941VtFofCmhvjZnP7EOA==" saltValue="bR36U96+BQJa7azCp0uTXQ==" spinCount="100000" sheet="1" objects="1" scenarios="1"/>
  <mergeCells count="2">
    <mergeCell ref="B176:C176"/>
    <mergeCell ref="B179:C179"/>
  </mergeCells>
  <conditionalFormatting sqref="D11:E11 D28:E29 D32:E32 D36:E38 D52:E58 D61:E63 D97:E100 D84:E85 D143:E144 D146:E152 D154:E154 D156:E160 D162:E162 D164:E164 D167:E167 D171:E173 D13:E20">
    <cfRule type="expression" priority="1993" dxfId="124" stopIfTrue="1">
      <formula>$A11="Meta"</formula>
    </cfRule>
    <cfRule type="expression" priority="1994" dxfId="123" stopIfTrue="1">
      <formula>$A11&lt;&gt;"Serviço"</formula>
    </cfRule>
  </conditionalFormatting>
  <conditionalFormatting sqref="C11 C28:C29 C32 C36:C38 C52:C58 C61:C63 C97:C100 C84:C85 C143:C144 C146:C152 C154 C156:C160 C162 C164 C167 C171:C173 C13:C20">
    <cfRule type="expression" priority="1995" dxfId="120" stopIfTrue="1">
      <formula>$A11="Meta"</formula>
    </cfRule>
    <cfRule type="expression" priority="1996" dxfId="119" stopIfTrue="1">
      <formula>$A11&lt;&gt;"Serviço"</formula>
    </cfRule>
  </conditionalFormatting>
  <conditionalFormatting sqref="A11:B11 A28:B29 A32:B32 A36:B38 A52:B58 A61:B63 A97:B100 A84:B85 A143:B144 A146:B152 A154:B154 A156:B160 A162:B162 A164:B164 A167:B167 A171:B173 A13:B20">
    <cfRule type="expression" priority="1997" dxfId="120" stopIfTrue="1">
      <formula>$A11="Meta"</formula>
    </cfRule>
    <cfRule type="expression" priority="1998" dxfId="119" stopIfTrue="1">
      <formula>LEFT($A11,5)="Nível"</formula>
    </cfRule>
    <cfRule type="expression" priority="1999" dxfId="118" stopIfTrue="1">
      <formula>$A11=0</formula>
    </cfRule>
  </conditionalFormatting>
  <conditionalFormatting sqref="AE11 F13:O15 F16:Y173 AE13:AE173">
    <cfRule type="expression" priority="2009" dxfId="124" stopIfTrue="1">
      <formula>$A11="Meta"</formula>
    </cfRule>
    <cfRule type="expression" priority="2010" dxfId="118" stopIfTrue="1">
      <formula>OR(F$9=0,$A11&lt;&gt;"Serviço")</formula>
    </cfRule>
    <cfRule type="expression" priority="2011" dxfId="356" stopIfTrue="1">
      <formula>TipoOrçamento="Licitado"</formula>
    </cfRule>
  </conditionalFormatting>
  <conditionalFormatting sqref="AE9">
    <cfRule type="expression" priority="1431" dxfId="118" stopIfTrue="1">
      <formula>AND(AD9=0,AE9=0)</formula>
    </cfRule>
    <cfRule type="expression" priority="1432" dxfId="356" stopIfTrue="1">
      <formula>TipoOrçamento="Licitado"</formula>
    </cfRule>
  </conditionalFormatting>
  <conditionalFormatting sqref="F11:O11">
    <cfRule type="expression" priority="1391" dxfId="124" stopIfTrue="1">
      <formula>$A11="Meta"</formula>
    </cfRule>
    <cfRule type="expression" priority="1392" dxfId="118" stopIfTrue="1">
      <formula>OR(F$9=0,$A11&lt;&gt;"Serviço")</formula>
    </cfRule>
    <cfRule type="expression" priority="1393" dxfId="356" stopIfTrue="1">
      <formula>TipoOrçamento="Licitado"</formula>
    </cfRule>
  </conditionalFormatting>
  <conditionalFormatting sqref="F9:O9">
    <cfRule type="expression" priority="1389" dxfId="118" stopIfTrue="1">
      <formula>AND(E9=0,F9=0)</formula>
    </cfRule>
    <cfRule type="expression" priority="1390" dxfId="356" stopIfTrue="1">
      <formula>TipoOrçamento="Licitado"</formula>
    </cfRule>
  </conditionalFormatting>
  <conditionalFormatting sqref="D21:E24">
    <cfRule type="expression" priority="995" dxfId="124" stopIfTrue="1">
      <formula>$A21="Meta"</formula>
    </cfRule>
    <cfRule type="expression" priority="996" dxfId="123" stopIfTrue="1">
      <formula>$A21&lt;&gt;"Serviço"</formula>
    </cfRule>
  </conditionalFormatting>
  <conditionalFormatting sqref="C21:C24">
    <cfRule type="expression" priority="997" dxfId="120" stopIfTrue="1">
      <formula>$A21="Meta"</formula>
    </cfRule>
    <cfRule type="expression" priority="998" dxfId="119" stopIfTrue="1">
      <formula>$A21&lt;&gt;"Serviço"</formula>
    </cfRule>
  </conditionalFormatting>
  <conditionalFormatting sqref="A21:B24">
    <cfRule type="expression" priority="999" dxfId="120" stopIfTrue="1">
      <formula>$A21="Meta"</formula>
    </cfRule>
    <cfRule type="expression" priority="1000" dxfId="119" stopIfTrue="1">
      <formula>LEFT($A21,5)="Nível"</formula>
    </cfRule>
    <cfRule type="expression" priority="1001" dxfId="118" stopIfTrue="1">
      <formula>$A21=0</formula>
    </cfRule>
  </conditionalFormatting>
  <conditionalFormatting sqref="D31:E31">
    <cfRule type="expression" priority="969" dxfId="124" stopIfTrue="1">
      <formula>$A31="Meta"</formula>
    </cfRule>
    <cfRule type="expression" priority="970" dxfId="123" stopIfTrue="1">
      <formula>$A31&lt;&gt;"Serviço"</formula>
    </cfRule>
  </conditionalFormatting>
  <conditionalFormatting sqref="C31">
    <cfRule type="expression" priority="971" dxfId="120" stopIfTrue="1">
      <formula>$A31="Meta"</formula>
    </cfRule>
    <cfRule type="expression" priority="972" dxfId="119" stopIfTrue="1">
      <formula>$A31&lt;&gt;"Serviço"</formula>
    </cfRule>
  </conditionalFormatting>
  <conditionalFormatting sqref="A31:B31">
    <cfRule type="expression" priority="973" dxfId="120" stopIfTrue="1">
      <formula>$A31="Meta"</formula>
    </cfRule>
    <cfRule type="expression" priority="974" dxfId="119" stopIfTrue="1">
      <formula>LEFT($A31,5)="Nível"</formula>
    </cfRule>
    <cfRule type="expression" priority="975" dxfId="118" stopIfTrue="1">
      <formula>$A31=0</formula>
    </cfRule>
  </conditionalFormatting>
  <conditionalFormatting sqref="D30:E30">
    <cfRule type="expression" priority="891" dxfId="124" stopIfTrue="1">
      <formula>$A30="Meta"</formula>
    </cfRule>
    <cfRule type="expression" priority="892" dxfId="123" stopIfTrue="1">
      <formula>$A30&lt;&gt;"Serviço"</formula>
    </cfRule>
  </conditionalFormatting>
  <conditionalFormatting sqref="C30">
    <cfRule type="expression" priority="893" dxfId="120" stopIfTrue="1">
      <formula>$A30="Meta"</formula>
    </cfRule>
    <cfRule type="expression" priority="894" dxfId="119" stopIfTrue="1">
      <formula>$A30&lt;&gt;"Serviço"</formula>
    </cfRule>
  </conditionalFormatting>
  <conditionalFormatting sqref="A30:B30">
    <cfRule type="expression" priority="895" dxfId="120" stopIfTrue="1">
      <formula>$A30="Meta"</formula>
    </cfRule>
    <cfRule type="expression" priority="896" dxfId="119" stopIfTrue="1">
      <formula>LEFT($A30,5)="Nível"</formula>
    </cfRule>
    <cfRule type="expression" priority="897" dxfId="118" stopIfTrue="1">
      <formula>$A30=0</formula>
    </cfRule>
  </conditionalFormatting>
  <conditionalFormatting sqref="D39:E39">
    <cfRule type="expression" priority="878" dxfId="124" stopIfTrue="1">
      <formula>$A39="Meta"</formula>
    </cfRule>
    <cfRule type="expression" priority="879" dxfId="123" stopIfTrue="1">
      <formula>$A39&lt;&gt;"Serviço"</formula>
    </cfRule>
  </conditionalFormatting>
  <conditionalFormatting sqref="C39">
    <cfRule type="expression" priority="880" dxfId="120" stopIfTrue="1">
      <formula>$A39="Meta"</formula>
    </cfRule>
    <cfRule type="expression" priority="881" dxfId="119" stopIfTrue="1">
      <formula>$A39&lt;&gt;"Serviço"</formula>
    </cfRule>
  </conditionalFormatting>
  <conditionalFormatting sqref="A39:B39">
    <cfRule type="expression" priority="882" dxfId="120" stopIfTrue="1">
      <formula>$A39="Meta"</formula>
    </cfRule>
    <cfRule type="expression" priority="883" dxfId="119" stopIfTrue="1">
      <formula>LEFT($A39,5)="Nível"</formula>
    </cfRule>
    <cfRule type="expression" priority="884" dxfId="118" stopIfTrue="1">
      <formula>$A39=0</formula>
    </cfRule>
  </conditionalFormatting>
  <conditionalFormatting sqref="D27:E27">
    <cfRule type="expression" priority="761" dxfId="124" stopIfTrue="1">
      <formula>$A27="Meta"</formula>
    </cfRule>
    <cfRule type="expression" priority="762" dxfId="123" stopIfTrue="1">
      <formula>$A27&lt;&gt;"Serviço"</formula>
    </cfRule>
  </conditionalFormatting>
  <conditionalFormatting sqref="C27">
    <cfRule type="expression" priority="763" dxfId="120" stopIfTrue="1">
      <formula>$A27="Meta"</formula>
    </cfRule>
    <cfRule type="expression" priority="764" dxfId="119" stopIfTrue="1">
      <formula>$A27&lt;&gt;"Serviço"</formula>
    </cfRule>
  </conditionalFormatting>
  <conditionalFormatting sqref="A27:B27">
    <cfRule type="expression" priority="765" dxfId="120" stopIfTrue="1">
      <formula>$A27="Meta"</formula>
    </cfRule>
    <cfRule type="expression" priority="766" dxfId="119" stopIfTrue="1">
      <formula>LEFT($A27,5)="Nível"</formula>
    </cfRule>
    <cfRule type="expression" priority="767" dxfId="118" stopIfTrue="1">
      <formula>$A27=0</formula>
    </cfRule>
  </conditionalFormatting>
  <conditionalFormatting sqref="D25:E25">
    <cfRule type="expression" priority="722" dxfId="124" stopIfTrue="1">
      <formula>$A25="Meta"</formula>
    </cfRule>
    <cfRule type="expression" priority="723" dxfId="123" stopIfTrue="1">
      <formula>$A25&lt;&gt;"Serviço"</formula>
    </cfRule>
  </conditionalFormatting>
  <conditionalFormatting sqref="C25">
    <cfRule type="expression" priority="724" dxfId="120" stopIfTrue="1">
      <formula>$A25="Meta"</formula>
    </cfRule>
    <cfRule type="expression" priority="725" dxfId="119" stopIfTrue="1">
      <formula>$A25&lt;&gt;"Serviço"</formula>
    </cfRule>
  </conditionalFormatting>
  <conditionalFormatting sqref="A25:B25">
    <cfRule type="expression" priority="726" dxfId="120" stopIfTrue="1">
      <formula>$A25="Meta"</formula>
    </cfRule>
    <cfRule type="expression" priority="727" dxfId="119" stopIfTrue="1">
      <formula>LEFT($A25,5)="Nível"</formula>
    </cfRule>
    <cfRule type="expression" priority="728" dxfId="118" stopIfTrue="1">
      <formula>$A25=0</formula>
    </cfRule>
  </conditionalFormatting>
  <conditionalFormatting sqref="D33:E33">
    <cfRule type="expression" priority="709" dxfId="124" stopIfTrue="1">
      <formula>$A33="Meta"</formula>
    </cfRule>
    <cfRule type="expression" priority="710" dxfId="123" stopIfTrue="1">
      <formula>$A33&lt;&gt;"Serviço"</formula>
    </cfRule>
  </conditionalFormatting>
  <conditionalFormatting sqref="C33">
    <cfRule type="expression" priority="711" dxfId="120" stopIfTrue="1">
      <formula>$A33="Meta"</formula>
    </cfRule>
    <cfRule type="expression" priority="712" dxfId="119" stopIfTrue="1">
      <formula>$A33&lt;&gt;"Serviço"</formula>
    </cfRule>
  </conditionalFormatting>
  <conditionalFormatting sqref="A33:B33">
    <cfRule type="expression" priority="713" dxfId="120" stopIfTrue="1">
      <formula>$A33="Meta"</formula>
    </cfRule>
    <cfRule type="expression" priority="714" dxfId="119" stopIfTrue="1">
      <formula>LEFT($A33,5)="Nível"</formula>
    </cfRule>
    <cfRule type="expression" priority="715" dxfId="118" stopIfTrue="1">
      <formula>$A33=0</formula>
    </cfRule>
  </conditionalFormatting>
  <conditionalFormatting sqref="D34:E35">
    <cfRule type="expression" priority="696" dxfId="124" stopIfTrue="1">
      <formula>$A34="Meta"</formula>
    </cfRule>
    <cfRule type="expression" priority="697" dxfId="123" stopIfTrue="1">
      <formula>$A34&lt;&gt;"Serviço"</formula>
    </cfRule>
  </conditionalFormatting>
  <conditionalFormatting sqref="C34:C35">
    <cfRule type="expression" priority="698" dxfId="120" stopIfTrue="1">
      <formula>$A34="Meta"</formula>
    </cfRule>
    <cfRule type="expression" priority="699" dxfId="119" stopIfTrue="1">
      <formula>$A34&lt;&gt;"Serviço"</formula>
    </cfRule>
  </conditionalFormatting>
  <conditionalFormatting sqref="A34:B35">
    <cfRule type="expression" priority="700" dxfId="120" stopIfTrue="1">
      <formula>$A34="Meta"</formula>
    </cfRule>
    <cfRule type="expression" priority="701" dxfId="119" stopIfTrue="1">
      <formula>LEFT($A34,5)="Nível"</formula>
    </cfRule>
    <cfRule type="expression" priority="702" dxfId="118" stopIfTrue="1">
      <formula>$A34=0</formula>
    </cfRule>
  </conditionalFormatting>
  <conditionalFormatting sqref="P13:Y15">
    <cfRule type="expression" priority="690" dxfId="124" stopIfTrue="1">
      <formula>$A13="Meta"</formula>
    </cfRule>
    <cfRule type="expression" priority="691" dxfId="118" stopIfTrue="1">
      <formula>OR(P$9=0,$A13&lt;&gt;"Serviço")</formula>
    </cfRule>
    <cfRule type="expression" priority="692" dxfId="356" stopIfTrue="1">
      <formula>TipoOrçamento="Licitado"</formula>
    </cfRule>
  </conditionalFormatting>
  <conditionalFormatting sqref="P11:Y11">
    <cfRule type="expression" priority="687" dxfId="124" stopIfTrue="1">
      <formula>$A11="Meta"</formula>
    </cfRule>
    <cfRule type="expression" priority="688" dxfId="118" stopIfTrue="1">
      <formula>OR(P$9=0,$A11&lt;&gt;"Serviço")</formula>
    </cfRule>
    <cfRule type="expression" priority="689" dxfId="356" stopIfTrue="1">
      <formula>TipoOrçamento="Licitado"</formula>
    </cfRule>
  </conditionalFormatting>
  <conditionalFormatting sqref="P9:Y9">
    <cfRule type="expression" priority="685" dxfId="118" stopIfTrue="1">
      <formula>AND(O9=0,P9=0)</formula>
    </cfRule>
    <cfRule type="expression" priority="686" dxfId="356" stopIfTrue="1">
      <formula>TipoOrçamento="Licitado"</formula>
    </cfRule>
  </conditionalFormatting>
  <conditionalFormatting sqref="D40:E40">
    <cfRule type="expression" priority="663" dxfId="124" stopIfTrue="1">
      <formula>$A40="Meta"</formula>
    </cfRule>
    <cfRule type="expression" priority="664" dxfId="123" stopIfTrue="1">
      <formula>$A40&lt;&gt;"Serviço"</formula>
    </cfRule>
  </conditionalFormatting>
  <conditionalFormatting sqref="C40">
    <cfRule type="expression" priority="665" dxfId="120" stopIfTrue="1">
      <formula>$A40="Meta"</formula>
    </cfRule>
    <cfRule type="expression" priority="666" dxfId="119" stopIfTrue="1">
      <formula>$A40&lt;&gt;"Serviço"</formula>
    </cfRule>
  </conditionalFormatting>
  <conditionalFormatting sqref="A40:B40">
    <cfRule type="expression" priority="667" dxfId="120" stopIfTrue="1">
      <formula>$A40="Meta"</formula>
    </cfRule>
    <cfRule type="expression" priority="668" dxfId="119" stopIfTrue="1">
      <formula>LEFT($A40,5)="Nível"</formula>
    </cfRule>
    <cfRule type="expression" priority="669" dxfId="118" stopIfTrue="1">
      <formula>$A40=0</formula>
    </cfRule>
  </conditionalFormatting>
  <conditionalFormatting sqref="D42:E50">
    <cfRule type="expression" priority="647" dxfId="124" stopIfTrue="1">
      <formula>$A42="Meta"</formula>
    </cfRule>
    <cfRule type="expression" priority="648" dxfId="123" stopIfTrue="1">
      <formula>$A42&lt;&gt;"Serviço"</formula>
    </cfRule>
  </conditionalFormatting>
  <conditionalFormatting sqref="C42:C50">
    <cfRule type="expression" priority="649" dxfId="120" stopIfTrue="1">
      <formula>$A42="Meta"</formula>
    </cfRule>
    <cfRule type="expression" priority="650" dxfId="119" stopIfTrue="1">
      <formula>$A42&lt;&gt;"Serviço"</formula>
    </cfRule>
  </conditionalFormatting>
  <conditionalFormatting sqref="A42:B50">
    <cfRule type="expression" priority="651" dxfId="120" stopIfTrue="1">
      <formula>$A42="Meta"</formula>
    </cfRule>
    <cfRule type="expression" priority="652" dxfId="119" stopIfTrue="1">
      <formula>LEFT($A42,5)="Nível"</formula>
    </cfRule>
    <cfRule type="expression" priority="653" dxfId="118" stopIfTrue="1">
      <formula>$A42=0</formula>
    </cfRule>
  </conditionalFormatting>
  <conditionalFormatting sqref="D26:E26">
    <cfRule type="expression" priority="631" dxfId="124" stopIfTrue="1">
      <formula>$A26="Meta"</formula>
    </cfRule>
    <cfRule type="expression" priority="632" dxfId="123" stopIfTrue="1">
      <formula>$A26&lt;&gt;"Serviço"</formula>
    </cfRule>
  </conditionalFormatting>
  <conditionalFormatting sqref="C26">
    <cfRule type="expression" priority="633" dxfId="120" stopIfTrue="1">
      <formula>$A26="Meta"</formula>
    </cfRule>
    <cfRule type="expression" priority="634" dxfId="119" stopIfTrue="1">
      <formula>$A26&lt;&gt;"Serviço"</formula>
    </cfRule>
  </conditionalFormatting>
  <conditionalFormatting sqref="A26:B26">
    <cfRule type="expression" priority="635" dxfId="120" stopIfTrue="1">
      <formula>$A26="Meta"</formula>
    </cfRule>
    <cfRule type="expression" priority="636" dxfId="119" stopIfTrue="1">
      <formula>LEFT($A26,5)="Nível"</formula>
    </cfRule>
    <cfRule type="expression" priority="637" dxfId="118" stopIfTrue="1">
      <formula>$A26=0</formula>
    </cfRule>
  </conditionalFormatting>
  <conditionalFormatting sqref="D41:E41">
    <cfRule type="expression" priority="615" dxfId="124" stopIfTrue="1">
      <formula>$A41="Meta"</formula>
    </cfRule>
    <cfRule type="expression" priority="616" dxfId="123" stopIfTrue="1">
      <formula>$A41&lt;&gt;"Serviço"</formula>
    </cfRule>
  </conditionalFormatting>
  <conditionalFormatting sqref="C41">
    <cfRule type="expression" priority="617" dxfId="120" stopIfTrue="1">
      <formula>$A41="Meta"</formula>
    </cfRule>
    <cfRule type="expression" priority="618" dxfId="119" stopIfTrue="1">
      <formula>$A41&lt;&gt;"Serviço"</formula>
    </cfRule>
  </conditionalFormatting>
  <conditionalFormatting sqref="A41:B41">
    <cfRule type="expression" priority="619" dxfId="120" stopIfTrue="1">
      <formula>$A41="Meta"</formula>
    </cfRule>
    <cfRule type="expression" priority="620" dxfId="119" stopIfTrue="1">
      <formula>LEFT($A41,5)="Nível"</formula>
    </cfRule>
    <cfRule type="expression" priority="621" dxfId="118" stopIfTrue="1">
      <formula>$A41=0</formula>
    </cfRule>
  </conditionalFormatting>
  <conditionalFormatting sqref="D51:E51">
    <cfRule type="expression" priority="599" dxfId="124" stopIfTrue="1">
      <formula>$A51="Meta"</formula>
    </cfRule>
    <cfRule type="expression" priority="600" dxfId="123" stopIfTrue="1">
      <formula>$A51&lt;&gt;"Serviço"</formula>
    </cfRule>
  </conditionalFormatting>
  <conditionalFormatting sqref="C51">
    <cfRule type="expression" priority="601" dxfId="120" stopIfTrue="1">
      <formula>$A51="Meta"</formula>
    </cfRule>
    <cfRule type="expression" priority="602" dxfId="119" stopIfTrue="1">
      <formula>$A51&lt;&gt;"Serviço"</formula>
    </cfRule>
  </conditionalFormatting>
  <conditionalFormatting sqref="A51:B51">
    <cfRule type="expression" priority="603" dxfId="120" stopIfTrue="1">
      <formula>$A51="Meta"</formula>
    </cfRule>
    <cfRule type="expression" priority="604" dxfId="119" stopIfTrue="1">
      <formula>LEFT($A51,5)="Nível"</formula>
    </cfRule>
    <cfRule type="expression" priority="605" dxfId="118" stopIfTrue="1">
      <formula>$A51=0</formula>
    </cfRule>
  </conditionalFormatting>
  <conditionalFormatting sqref="D64:E72 D115:E115">
    <cfRule type="expression" priority="583" dxfId="124" stopIfTrue="1">
      <formula>$A64="Meta"</formula>
    </cfRule>
    <cfRule type="expression" priority="584" dxfId="123" stopIfTrue="1">
      <formula>$A64&lt;&gt;"Serviço"</formula>
    </cfRule>
  </conditionalFormatting>
  <conditionalFormatting sqref="C64:C72 C115">
    <cfRule type="expression" priority="585" dxfId="120" stopIfTrue="1">
      <formula>$A64="Meta"</formula>
    </cfRule>
    <cfRule type="expression" priority="586" dxfId="119" stopIfTrue="1">
      <formula>$A64&lt;&gt;"Serviço"</formula>
    </cfRule>
  </conditionalFormatting>
  <conditionalFormatting sqref="A64:B72 A115:B115">
    <cfRule type="expression" priority="587" dxfId="120" stopIfTrue="1">
      <formula>$A64="Meta"</formula>
    </cfRule>
    <cfRule type="expression" priority="588" dxfId="119" stopIfTrue="1">
      <formula>LEFT($A64,5)="Nível"</formula>
    </cfRule>
    <cfRule type="expression" priority="589" dxfId="118" stopIfTrue="1">
      <formula>$A64=0</formula>
    </cfRule>
  </conditionalFormatting>
  <conditionalFormatting sqref="D73:E73 D91:E92 D102:E104 D89:E89 D86:E87 D95:E95">
    <cfRule type="expression" priority="567" dxfId="124" stopIfTrue="1">
      <formula>$A73="Meta"</formula>
    </cfRule>
    <cfRule type="expression" priority="568" dxfId="123" stopIfTrue="1">
      <formula>$A73&lt;&gt;"Serviço"</formula>
    </cfRule>
  </conditionalFormatting>
  <conditionalFormatting sqref="C73 C91:C92 C102:C104 C89 C86:C87 C95">
    <cfRule type="expression" priority="569" dxfId="120" stopIfTrue="1">
      <formula>$A73="Meta"</formula>
    </cfRule>
    <cfRule type="expression" priority="570" dxfId="119" stopIfTrue="1">
      <formula>$A73&lt;&gt;"Serviço"</formula>
    </cfRule>
  </conditionalFormatting>
  <conditionalFormatting sqref="A73:B73 A91:B92 A102:B104 A89:B89 A86:B87 A95:B95">
    <cfRule type="expression" priority="571" dxfId="120" stopIfTrue="1">
      <formula>$A73="Meta"</formula>
    </cfRule>
    <cfRule type="expression" priority="572" dxfId="119" stopIfTrue="1">
      <formula>LEFT($A73,5)="Nível"</formula>
    </cfRule>
    <cfRule type="expression" priority="573" dxfId="118" stopIfTrue="1">
      <formula>$A73=0</formula>
    </cfRule>
  </conditionalFormatting>
  <conditionalFormatting sqref="D90:E90">
    <cfRule type="expression" priority="551" dxfId="124" stopIfTrue="1">
      <formula>$A90="Meta"</formula>
    </cfRule>
    <cfRule type="expression" priority="552" dxfId="123" stopIfTrue="1">
      <formula>$A90&lt;&gt;"Serviço"</formula>
    </cfRule>
  </conditionalFormatting>
  <conditionalFormatting sqref="C90">
    <cfRule type="expression" priority="553" dxfId="120" stopIfTrue="1">
      <formula>$A90="Meta"</formula>
    </cfRule>
    <cfRule type="expression" priority="554" dxfId="119" stopIfTrue="1">
      <formula>$A90&lt;&gt;"Serviço"</formula>
    </cfRule>
  </conditionalFormatting>
  <conditionalFormatting sqref="A90:B90">
    <cfRule type="expression" priority="555" dxfId="120" stopIfTrue="1">
      <formula>$A90="Meta"</formula>
    </cfRule>
    <cfRule type="expression" priority="556" dxfId="119" stopIfTrue="1">
      <formula>LEFT($A90,5)="Nível"</formula>
    </cfRule>
    <cfRule type="expression" priority="557" dxfId="118" stopIfTrue="1">
      <formula>$A90=0</formula>
    </cfRule>
  </conditionalFormatting>
  <conditionalFormatting sqref="D105:E114">
    <cfRule type="expression" priority="535" dxfId="124" stopIfTrue="1">
      <formula>$A105="Meta"</formula>
    </cfRule>
    <cfRule type="expression" priority="536" dxfId="123" stopIfTrue="1">
      <formula>$A105&lt;&gt;"Serviço"</formula>
    </cfRule>
  </conditionalFormatting>
  <conditionalFormatting sqref="C105:C114">
    <cfRule type="expression" priority="537" dxfId="120" stopIfTrue="1">
      <formula>$A105="Meta"</formula>
    </cfRule>
    <cfRule type="expression" priority="538" dxfId="119" stopIfTrue="1">
      <formula>$A105&lt;&gt;"Serviço"</formula>
    </cfRule>
  </conditionalFormatting>
  <conditionalFormatting sqref="A105:B114">
    <cfRule type="expression" priority="539" dxfId="120" stopIfTrue="1">
      <formula>$A105="Meta"</formula>
    </cfRule>
    <cfRule type="expression" priority="540" dxfId="119" stopIfTrue="1">
      <formula>LEFT($A105,5)="Nível"</formula>
    </cfRule>
    <cfRule type="expression" priority="541" dxfId="118" stopIfTrue="1">
      <formula>$A105=0</formula>
    </cfRule>
  </conditionalFormatting>
  <conditionalFormatting sqref="D59:E60">
    <cfRule type="expression" priority="519" dxfId="124" stopIfTrue="1">
      <formula>$A59="Meta"</formula>
    </cfRule>
    <cfRule type="expression" priority="520" dxfId="123" stopIfTrue="1">
      <formula>$A59&lt;&gt;"Serviço"</formula>
    </cfRule>
  </conditionalFormatting>
  <conditionalFormatting sqref="C59:C60">
    <cfRule type="expression" priority="521" dxfId="120" stopIfTrue="1">
      <formula>$A59="Meta"</formula>
    </cfRule>
    <cfRule type="expression" priority="522" dxfId="119" stopIfTrue="1">
      <formula>$A59&lt;&gt;"Serviço"</formula>
    </cfRule>
  </conditionalFormatting>
  <conditionalFormatting sqref="A59:B60">
    <cfRule type="expression" priority="523" dxfId="120" stopIfTrue="1">
      <formula>$A59="Meta"</formula>
    </cfRule>
    <cfRule type="expression" priority="524" dxfId="119" stopIfTrue="1">
      <formula>LEFT($A59,5)="Nível"</formula>
    </cfRule>
    <cfRule type="expression" priority="525" dxfId="118" stopIfTrue="1">
      <formula>$A59=0</formula>
    </cfRule>
  </conditionalFormatting>
  <conditionalFormatting sqref="D88:E88">
    <cfRule type="expression" priority="487" dxfId="124" stopIfTrue="1">
      <formula>$A88="Meta"</formula>
    </cfRule>
    <cfRule type="expression" priority="488" dxfId="123" stopIfTrue="1">
      <formula>$A88&lt;&gt;"Serviço"</formula>
    </cfRule>
  </conditionalFormatting>
  <conditionalFormatting sqref="C88">
    <cfRule type="expression" priority="489" dxfId="120" stopIfTrue="1">
      <formula>$A88="Meta"</formula>
    </cfRule>
    <cfRule type="expression" priority="490" dxfId="119" stopIfTrue="1">
      <formula>$A88&lt;&gt;"Serviço"</formula>
    </cfRule>
  </conditionalFormatting>
  <conditionalFormatting sqref="A88:B88">
    <cfRule type="expression" priority="491" dxfId="120" stopIfTrue="1">
      <formula>$A88="Meta"</formula>
    </cfRule>
    <cfRule type="expression" priority="492" dxfId="119" stopIfTrue="1">
      <formula>LEFT($A88,5)="Nível"</formula>
    </cfRule>
    <cfRule type="expression" priority="493" dxfId="118" stopIfTrue="1">
      <formula>$A88=0</formula>
    </cfRule>
  </conditionalFormatting>
  <conditionalFormatting sqref="D117:E117 D119:E123 D142:E142 D137:E139">
    <cfRule type="expression" priority="455" dxfId="124" stopIfTrue="1">
      <formula>$A117="Meta"</formula>
    </cfRule>
    <cfRule type="expression" priority="456" dxfId="123" stopIfTrue="1">
      <formula>$A117&lt;&gt;"Serviço"</formula>
    </cfRule>
  </conditionalFormatting>
  <conditionalFormatting sqref="C117 C119:C123 C142 C137:C139">
    <cfRule type="expression" priority="457" dxfId="120" stopIfTrue="1">
      <formula>$A117="Meta"</formula>
    </cfRule>
    <cfRule type="expression" priority="458" dxfId="119" stopIfTrue="1">
      <formula>$A117&lt;&gt;"Serviço"</formula>
    </cfRule>
  </conditionalFormatting>
  <conditionalFormatting sqref="A117:B117 A119:B123 A142:B142 A137:B139">
    <cfRule type="expression" priority="459" dxfId="120" stopIfTrue="1">
      <formula>$A117="Meta"</formula>
    </cfRule>
    <cfRule type="expression" priority="460" dxfId="119" stopIfTrue="1">
      <formula>LEFT($A117,5)="Nível"</formula>
    </cfRule>
    <cfRule type="expression" priority="461" dxfId="118" stopIfTrue="1">
      <formula>$A117=0</formula>
    </cfRule>
  </conditionalFormatting>
  <conditionalFormatting sqref="D116:E116">
    <cfRule type="expression" priority="439" dxfId="124" stopIfTrue="1">
      <formula>$A116="Meta"</formula>
    </cfRule>
    <cfRule type="expression" priority="440" dxfId="123" stopIfTrue="1">
      <formula>$A116&lt;&gt;"Serviço"</formula>
    </cfRule>
  </conditionalFormatting>
  <conditionalFormatting sqref="C116">
    <cfRule type="expression" priority="441" dxfId="120" stopIfTrue="1">
      <formula>$A116="Meta"</formula>
    </cfRule>
    <cfRule type="expression" priority="442" dxfId="119" stopIfTrue="1">
      <formula>$A116&lt;&gt;"Serviço"</formula>
    </cfRule>
  </conditionalFormatting>
  <conditionalFormatting sqref="A116:B116">
    <cfRule type="expression" priority="443" dxfId="120" stopIfTrue="1">
      <formula>$A116="Meta"</formula>
    </cfRule>
    <cfRule type="expression" priority="444" dxfId="119" stopIfTrue="1">
      <formula>LEFT($A116,5)="Nível"</formula>
    </cfRule>
    <cfRule type="expression" priority="445" dxfId="118" stopIfTrue="1">
      <formula>$A116=0</formula>
    </cfRule>
  </conditionalFormatting>
  <conditionalFormatting sqref="D118:E118">
    <cfRule type="expression" priority="423" dxfId="124" stopIfTrue="1">
      <formula>$A118="Meta"</formula>
    </cfRule>
    <cfRule type="expression" priority="424" dxfId="123" stopIfTrue="1">
      <formula>$A118&lt;&gt;"Serviço"</formula>
    </cfRule>
  </conditionalFormatting>
  <conditionalFormatting sqref="C118">
    <cfRule type="expression" priority="425" dxfId="120" stopIfTrue="1">
      <formula>$A118="Meta"</formula>
    </cfRule>
    <cfRule type="expression" priority="426" dxfId="119" stopIfTrue="1">
      <formula>$A118&lt;&gt;"Serviço"</formula>
    </cfRule>
  </conditionalFormatting>
  <conditionalFormatting sqref="A118:B118">
    <cfRule type="expression" priority="427" dxfId="120" stopIfTrue="1">
      <formula>$A118="Meta"</formula>
    </cfRule>
    <cfRule type="expression" priority="428" dxfId="119" stopIfTrue="1">
      <formula>LEFT($A118,5)="Nível"</formula>
    </cfRule>
    <cfRule type="expression" priority="429" dxfId="118" stopIfTrue="1">
      <formula>$A118=0</formula>
    </cfRule>
  </conditionalFormatting>
  <conditionalFormatting sqref="D74:E78">
    <cfRule type="expression" priority="407" dxfId="124" stopIfTrue="1">
      <formula>$A74="Meta"</formula>
    </cfRule>
    <cfRule type="expression" priority="408" dxfId="123" stopIfTrue="1">
      <formula>$A74&lt;&gt;"Serviço"</formula>
    </cfRule>
  </conditionalFormatting>
  <conditionalFormatting sqref="C74:C78">
    <cfRule type="expression" priority="409" dxfId="120" stopIfTrue="1">
      <formula>$A74="Meta"</formula>
    </cfRule>
    <cfRule type="expression" priority="410" dxfId="119" stopIfTrue="1">
      <formula>$A74&lt;&gt;"Serviço"</formula>
    </cfRule>
  </conditionalFormatting>
  <conditionalFormatting sqref="A74:B78">
    <cfRule type="expression" priority="411" dxfId="120" stopIfTrue="1">
      <formula>$A74="Meta"</formula>
    </cfRule>
    <cfRule type="expression" priority="412" dxfId="119" stopIfTrue="1">
      <formula>LEFT($A74,5)="Nível"</formula>
    </cfRule>
    <cfRule type="expression" priority="413" dxfId="118" stopIfTrue="1">
      <formula>$A74=0</formula>
    </cfRule>
  </conditionalFormatting>
  <conditionalFormatting sqref="D79:E83">
    <cfRule type="expression" priority="391" dxfId="124" stopIfTrue="1">
      <formula>$A79="Meta"</formula>
    </cfRule>
    <cfRule type="expression" priority="392" dxfId="123" stopIfTrue="1">
      <formula>$A79&lt;&gt;"Serviço"</formula>
    </cfRule>
  </conditionalFormatting>
  <conditionalFormatting sqref="C79:C83">
    <cfRule type="expression" priority="393" dxfId="120" stopIfTrue="1">
      <formula>$A79="Meta"</formula>
    </cfRule>
    <cfRule type="expression" priority="394" dxfId="119" stopIfTrue="1">
      <formula>$A79&lt;&gt;"Serviço"</formula>
    </cfRule>
  </conditionalFormatting>
  <conditionalFormatting sqref="A79:B83">
    <cfRule type="expression" priority="395" dxfId="120" stopIfTrue="1">
      <formula>$A79="Meta"</formula>
    </cfRule>
    <cfRule type="expression" priority="396" dxfId="119" stopIfTrue="1">
      <formula>LEFT($A79,5)="Nível"</formula>
    </cfRule>
    <cfRule type="expression" priority="397" dxfId="118" stopIfTrue="1">
      <formula>$A79=0</formula>
    </cfRule>
  </conditionalFormatting>
  <conditionalFormatting sqref="D96:E96">
    <cfRule type="expression" priority="359" dxfId="124" stopIfTrue="1">
      <formula>$A96="Meta"</formula>
    </cfRule>
    <cfRule type="expression" priority="360" dxfId="123" stopIfTrue="1">
      <formula>$A96&lt;&gt;"Serviço"</formula>
    </cfRule>
  </conditionalFormatting>
  <conditionalFormatting sqref="C96">
    <cfRule type="expression" priority="361" dxfId="120" stopIfTrue="1">
      <formula>$A96="Meta"</formula>
    </cfRule>
    <cfRule type="expression" priority="362" dxfId="119" stopIfTrue="1">
      <formula>$A96&lt;&gt;"Serviço"</formula>
    </cfRule>
  </conditionalFormatting>
  <conditionalFormatting sqref="A96:B96">
    <cfRule type="expression" priority="363" dxfId="120" stopIfTrue="1">
      <formula>$A96="Meta"</formula>
    </cfRule>
    <cfRule type="expression" priority="364" dxfId="119" stopIfTrue="1">
      <formula>LEFT($A96,5)="Nível"</formula>
    </cfRule>
    <cfRule type="expression" priority="365" dxfId="118" stopIfTrue="1">
      <formula>$A96=0</formula>
    </cfRule>
  </conditionalFormatting>
  <conditionalFormatting sqref="D141:E141">
    <cfRule type="expression" priority="327" dxfId="124" stopIfTrue="1">
      <formula>$A141="Meta"</formula>
    </cfRule>
    <cfRule type="expression" priority="328" dxfId="123" stopIfTrue="1">
      <formula>$A141&lt;&gt;"Serviço"</formula>
    </cfRule>
  </conditionalFormatting>
  <conditionalFormatting sqref="C141">
    <cfRule type="expression" priority="329" dxfId="120" stopIfTrue="1">
      <formula>$A141="Meta"</formula>
    </cfRule>
    <cfRule type="expression" priority="330" dxfId="119" stopIfTrue="1">
      <formula>$A141&lt;&gt;"Serviço"</formula>
    </cfRule>
  </conditionalFormatting>
  <conditionalFormatting sqref="A141:B141">
    <cfRule type="expression" priority="331" dxfId="120" stopIfTrue="1">
      <formula>$A141="Meta"</formula>
    </cfRule>
    <cfRule type="expression" priority="332" dxfId="119" stopIfTrue="1">
      <formula>LEFT($A141,5)="Nível"</formula>
    </cfRule>
    <cfRule type="expression" priority="333" dxfId="118" stopIfTrue="1">
      <formula>$A141=0</formula>
    </cfRule>
  </conditionalFormatting>
  <conditionalFormatting sqref="D124:E133">
    <cfRule type="expression" priority="295" dxfId="124" stopIfTrue="1">
      <formula>$A124="Meta"</formula>
    </cfRule>
    <cfRule type="expression" priority="296" dxfId="123" stopIfTrue="1">
      <formula>$A124&lt;&gt;"Serviço"</formula>
    </cfRule>
  </conditionalFormatting>
  <conditionalFormatting sqref="C124:C133">
    <cfRule type="expression" priority="297" dxfId="120" stopIfTrue="1">
      <formula>$A124="Meta"</formula>
    </cfRule>
    <cfRule type="expression" priority="298" dxfId="119" stopIfTrue="1">
      <formula>$A124&lt;&gt;"Serviço"</formula>
    </cfRule>
  </conditionalFormatting>
  <conditionalFormatting sqref="A124:B133">
    <cfRule type="expression" priority="299" dxfId="120" stopIfTrue="1">
      <formula>$A124="Meta"</formula>
    </cfRule>
    <cfRule type="expression" priority="300" dxfId="119" stopIfTrue="1">
      <formula>LEFT($A124,5)="Nível"</formula>
    </cfRule>
    <cfRule type="expression" priority="301" dxfId="118" stopIfTrue="1">
      <formula>$A124=0</formula>
    </cfRule>
  </conditionalFormatting>
  <conditionalFormatting sqref="D134:E136">
    <cfRule type="expression" priority="263" dxfId="124" stopIfTrue="1">
      <formula>$A134="Meta"</formula>
    </cfRule>
    <cfRule type="expression" priority="264" dxfId="123" stopIfTrue="1">
      <formula>$A134&lt;&gt;"Serviço"</formula>
    </cfRule>
  </conditionalFormatting>
  <conditionalFormatting sqref="C134:C136">
    <cfRule type="expression" priority="265" dxfId="120" stopIfTrue="1">
      <formula>$A134="Meta"</formula>
    </cfRule>
    <cfRule type="expression" priority="266" dxfId="119" stopIfTrue="1">
      <formula>$A134&lt;&gt;"Serviço"</formula>
    </cfRule>
  </conditionalFormatting>
  <conditionalFormatting sqref="A134:B136">
    <cfRule type="expression" priority="267" dxfId="120" stopIfTrue="1">
      <formula>$A134="Meta"</formula>
    </cfRule>
    <cfRule type="expression" priority="268" dxfId="119" stopIfTrue="1">
      <formula>LEFT($A134,5)="Nível"</formula>
    </cfRule>
    <cfRule type="expression" priority="269" dxfId="118" stopIfTrue="1">
      <formula>$A134=0</formula>
    </cfRule>
  </conditionalFormatting>
  <conditionalFormatting sqref="D153:E153">
    <cfRule type="expression" priority="247" dxfId="124" stopIfTrue="1">
      <formula>$A153="Meta"</formula>
    </cfRule>
    <cfRule type="expression" priority="248" dxfId="123" stopIfTrue="1">
      <formula>$A153&lt;&gt;"Serviço"</formula>
    </cfRule>
  </conditionalFormatting>
  <conditionalFormatting sqref="C153">
    <cfRule type="expression" priority="249" dxfId="120" stopIfTrue="1">
      <formula>$A153="Meta"</formula>
    </cfRule>
    <cfRule type="expression" priority="250" dxfId="119" stopIfTrue="1">
      <formula>$A153&lt;&gt;"Serviço"</formula>
    </cfRule>
  </conditionalFormatting>
  <conditionalFormatting sqref="A153:B153">
    <cfRule type="expression" priority="251" dxfId="120" stopIfTrue="1">
      <formula>$A153="Meta"</formula>
    </cfRule>
    <cfRule type="expression" priority="252" dxfId="119" stopIfTrue="1">
      <formula>LEFT($A153,5)="Nível"</formula>
    </cfRule>
    <cfRule type="expression" priority="253" dxfId="118" stopIfTrue="1">
      <formula>$A153=0</formula>
    </cfRule>
  </conditionalFormatting>
  <conditionalFormatting sqref="D93:E93">
    <cfRule type="expression" priority="215" dxfId="124" stopIfTrue="1">
      <formula>$A93="Meta"</formula>
    </cfRule>
    <cfRule type="expression" priority="216" dxfId="123" stopIfTrue="1">
      <formula>$A93&lt;&gt;"Serviço"</formula>
    </cfRule>
  </conditionalFormatting>
  <conditionalFormatting sqref="C93">
    <cfRule type="expression" priority="217" dxfId="120" stopIfTrue="1">
      <formula>$A93="Meta"</formula>
    </cfRule>
    <cfRule type="expression" priority="218" dxfId="119" stopIfTrue="1">
      <formula>$A93&lt;&gt;"Serviço"</formula>
    </cfRule>
  </conditionalFormatting>
  <conditionalFormatting sqref="A93:B93">
    <cfRule type="expression" priority="219" dxfId="120" stopIfTrue="1">
      <formula>$A93="Meta"</formula>
    </cfRule>
    <cfRule type="expression" priority="220" dxfId="119" stopIfTrue="1">
      <formula>LEFT($A93,5)="Nível"</formula>
    </cfRule>
    <cfRule type="expression" priority="221" dxfId="118" stopIfTrue="1">
      <formula>$A93=0</formula>
    </cfRule>
  </conditionalFormatting>
  <conditionalFormatting sqref="D94:E94">
    <cfRule type="expression" priority="199" dxfId="124" stopIfTrue="1">
      <formula>$A94="Meta"</formula>
    </cfRule>
    <cfRule type="expression" priority="200" dxfId="123" stopIfTrue="1">
      <formula>$A94&lt;&gt;"Serviço"</formula>
    </cfRule>
  </conditionalFormatting>
  <conditionalFormatting sqref="C94">
    <cfRule type="expression" priority="201" dxfId="120" stopIfTrue="1">
      <formula>$A94="Meta"</formula>
    </cfRule>
    <cfRule type="expression" priority="202" dxfId="119" stopIfTrue="1">
      <formula>$A94&lt;&gt;"Serviço"</formula>
    </cfRule>
  </conditionalFormatting>
  <conditionalFormatting sqref="A94:B94">
    <cfRule type="expression" priority="203" dxfId="120" stopIfTrue="1">
      <formula>$A94="Meta"</formula>
    </cfRule>
    <cfRule type="expression" priority="204" dxfId="119" stopIfTrue="1">
      <formula>LEFT($A94,5)="Nível"</formula>
    </cfRule>
    <cfRule type="expression" priority="205" dxfId="118" stopIfTrue="1">
      <formula>$A94=0</formula>
    </cfRule>
  </conditionalFormatting>
  <conditionalFormatting sqref="D101:E101">
    <cfRule type="expression" priority="167" dxfId="124" stopIfTrue="1">
      <formula>$A101="Meta"</formula>
    </cfRule>
    <cfRule type="expression" priority="168" dxfId="123" stopIfTrue="1">
      <formula>$A101&lt;&gt;"Serviço"</formula>
    </cfRule>
  </conditionalFormatting>
  <conditionalFormatting sqref="C101">
    <cfRule type="expression" priority="169" dxfId="120" stopIfTrue="1">
      <formula>$A101="Meta"</formula>
    </cfRule>
    <cfRule type="expression" priority="170" dxfId="119" stopIfTrue="1">
      <formula>$A101&lt;&gt;"Serviço"</formula>
    </cfRule>
  </conditionalFormatting>
  <conditionalFormatting sqref="A101:B101">
    <cfRule type="expression" priority="171" dxfId="120" stopIfTrue="1">
      <formula>$A101="Meta"</formula>
    </cfRule>
    <cfRule type="expression" priority="172" dxfId="119" stopIfTrue="1">
      <formula>LEFT($A101,5)="Nível"</formula>
    </cfRule>
    <cfRule type="expression" priority="173" dxfId="118" stopIfTrue="1">
      <formula>$A101=0</formula>
    </cfRule>
  </conditionalFormatting>
  <conditionalFormatting sqref="D145:E145">
    <cfRule type="expression" priority="151" dxfId="124" stopIfTrue="1">
      <formula>$A145="Meta"</formula>
    </cfRule>
    <cfRule type="expression" priority="152" dxfId="123" stopIfTrue="1">
      <formula>$A145&lt;&gt;"Serviço"</formula>
    </cfRule>
  </conditionalFormatting>
  <conditionalFormatting sqref="C145">
    <cfRule type="expression" priority="153" dxfId="120" stopIfTrue="1">
      <formula>$A145="Meta"</formula>
    </cfRule>
    <cfRule type="expression" priority="154" dxfId="119" stopIfTrue="1">
      <formula>$A145&lt;&gt;"Serviço"</formula>
    </cfRule>
  </conditionalFormatting>
  <conditionalFormatting sqref="A145:B145">
    <cfRule type="expression" priority="155" dxfId="120" stopIfTrue="1">
      <formula>$A145="Meta"</formula>
    </cfRule>
    <cfRule type="expression" priority="156" dxfId="119" stopIfTrue="1">
      <formula>LEFT($A145,5)="Nível"</formula>
    </cfRule>
    <cfRule type="expression" priority="157" dxfId="118" stopIfTrue="1">
      <formula>$A145=0</formula>
    </cfRule>
  </conditionalFormatting>
  <conditionalFormatting sqref="D155:E155">
    <cfRule type="expression" priority="135" dxfId="124" stopIfTrue="1">
      <formula>$A155="Meta"</formula>
    </cfRule>
    <cfRule type="expression" priority="136" dxfId="123" stopIfTrue="1">
      <formula>$A155&lt;&gt;"Serviço"</formula>
    </cfRule>
  </conditionalFormatting>
  <conditionalFormatting sqref="C155">
    <cfRule type="expression" priority="137" dxfId="120" stopIfTrue="1">
      <formula>$A155="Meta"</formula>
    </cfRule>
    <cfRule type="expression" priority="138" dxfId="119" stopIfTrue="1">
      <formula>$A155&lt;&gt;"Serviço"</formula>
    </cfRule>
  </conditionalFormatting>
  <conditionalFormatting sqref="A155:B155">
    <cfRule type="expression" priority="139" dxfId="120" stopIfTrue="1">
      <formula>$A155="Meta"</formula>
    </cfRule>
    <cfRule type="expression" priority="140" dxfId="119" stopIfTrue="1">
      <formula>LEFT($A155,5)="Nível"</formula>
    </cfRule>
    <cfRule type="expression" priority="141" dxfId="118" stopIfTrue="1">
      <formula>$A155=0</formula>
    </cfRule>
  </conditionalFormatting>
  <conditionalFormatting sqref="D161:E161">
    <cfRule type="expression" priority="119" dxfId="124" stopIfTrue="1">
      <formula>$A161="Meta"</formula>
    </cfRule>
    <cfRule type="expression" priority="120" dxfId="123" stopIfTrue="1">
      <formula>$A161&lt;&gt;"Serviço"</formula>
    </cfRule>
  </conditionalFormatting>
  <conditionalFormatting sqref="C161">
    <cfRule type="expression" priority="121" dxfId="120" stopIfTrue="1">
      <formula>$A161="Meta"</formula>
    </cfRule>
    <cfRule type="expression" priority="122" dxfId="119" stopIfTrue="1">
      <formula>$A161&lt;&gt;"Serviço"</formula>
    </cfRule>
  </conditionalFormatting>
  <conditionalFormatting sqref="A161:B161">
    <cfRule type="expression" priority="123" dxfId="120" stopIfTrue="1">
      <formula>$A161="Meta"</formula>
    </cfRule>
    <cfRule type="expression" priority="124" dxfId="119" stopIfTrue="1">
      <formula>LEFT($A161,5)="Nível"</formula>
    </cfRule>
    <cfRule type="expression" priority="125" dxfId="118" stopIfTrue="1">
      <formula>$A161=0</formula>
    </cfRule>
  </conditionalFormatting>
  <conditionalFormatting sqref="D163:E163">
    <cfRule type="expression" priority="103" dxfId="124" stopIfTrue="1">
      <formula>$A163="Meta"</formula>
    </cfRule>
    <cfRule type="expression" priority="104" dxfId="123" stopIfTrue="1">
      <formula>$A163&lt;&gt;"Serviço"</formula>
    </cfRule>
  </conditionalFormatting>
  <conditionalFormatting sqref="C163">
    <cfRule type="expression" priority="105" dxfId="120" stopIfTrue="1">
      <formula>$A163="Meta"</formula>
    </cfRule>
    <cfRule type="expression" priority="106" dxfId="119" stopIfTrue="1">
      <formula>$A163&lt;&gt;"Serviço"</formula>
    </cfRule>
  </conditionalFormatting>
  <conditionalFormatting sqref="A163:B163">
    <cfRule type="expression" priority="107" dxfId="120" stopIfTrue="1">
      <formula>$A163="Meta"</formula>
    </cfRule>
    <cfRule type="expression" priority="108" dxfId="119" stopIfTrue="1">
      <formula>LEFT($A163,5)="Nível"</formula>
    </cfRule>
    <cfRule type="expression" priority="109" dxfId="118" stopIfTrue="1">
      <formula>$A163=0</formula>
    </cfRule>
  </conditionalFormatting>
  <conditionalFormatting sqref="D165:E165">
    <cfRule type="expression" priority="87" dxfId="124" stopIfTrue="1">
      <formula>$A165="Meta"</formula>
    </cfRule>
    <cfRule type="expression" priority="88" dxfId="123" stopIfTrue="1">
      <formula>$A165&lt;&gt;"Serviço"</formula>
    </cfRule>
  </conditionalFormatting>
  <conditionalFormatting sqref="C165">
    <cfRule type="expression" priority="89" dxfId="120" stopIfTrue="1">
      <formula>$A165="Meta"</formula>
    </cfRule>
    <cfRule type="expression" priority="90" dxfId="119" stopIfTrue="1">
      <formula>$A165&lt;&gt;"Serviço"</formula>
    </cfRule>
  </conditionalFormatting>
  <conditionalFormatting sqref="A165:B165">
    <cfRule type="expression" priority="91" dxfId="120" stopIfTrue="1">
      <formula>$A165="Meta"</formula>
    </cfRule>
    <cfRule type="expression" priority="92" dxfId="119" stopIfTrue="1">
      <formula>LEFT($A165,5)="Nível"</formula>
    </cfRule>
    <cfRule type="expression" priority="93" dxfId="118" stopIfTrue="1">
      <formula>$A165=0</formula>
    </cfRule>
  </conditionalFormatting>
  <conditionalFormatting sqref="D166:E166">
    <cfRule type="expression" priority="71" dxfId="124" stopIfTrue="1">
      <formula>$A166="Meta"</formula>
    </cfRule>
    <cfRule type="expression" priority="72" dxfId="123" stopIfTrue="1">
      <formula>$A166&lt;&gt;"Serviço"</formula>
    </cfRule>
  </conditionalFormatting>
  <conditionalFormatting sqref="C166">
    <cfRule type="expression" priority="73" dxfId="120" stopIfTrue="1">
      <formula>$A166="Meta"</formula>
    </cfRule>
    <cfRule type="expression" priority="74" dxfId="119" stopIfTrue="1">
      <formula>$A166&lt;&gt;"Serviço"</formula>
    </cfRule>
  </conditionalFormatting>
  <conditionalFormatting sqref="A166:B166">
    <cfRule type="expression" priority="75" dxfId="120" stopIfTrue="1">
      <formula>$A166="Meta"</formula>
    </cfRule>
    <cfRule type="expression" priority="76" dxfId="119" stopIfTrue="1">
      <formula>LEFT($A166,5)="Nível"</formula>
    </cfRule>
    <cfRule type="expression" priority="77" dxfId="118" stopIfTrue="1">
      <formula>$A166=0</formula>
    </cfRule>
  </conditionalFormatting>
  <conditionalFormatting sqref="D168:E168">
    <cfRule type="expression" priority="55" dxfId="124" stopIfTrue="1">
      <formula>$A168="Meta"</formula>
    </cfRule>
    <cfRule type="expression" priority="56" dxfId="123" stopIfTrue="1">
      <formula>$A168&lt;&gt;"Serviço"</formula>
    </cfRule>
  </conditionalFormatting>
  <conditionalFormatting sqref="C168">
    <cfRule type="expression" priority="57" dxfId="120" stopIfTrue="1">
      <formula>$A168="Meta"</formula>
    </cfRule>
    <cfRule type="expression" priority="58" dxfId="119" stopIfTrue="1">
      <formula>$A168&lt;&gt;"Serviço"</formula>
    </cfRule>
  </conditionalFormatting>
  <conditionalFormatting sqref="A168:B168">
    <cfRule type="expression" priority="59" dxfId="120" stopIfTrue="1">
      <formula>$A168="Meta"</formula>
    </cfRule>
    <cfRule type="expression" priority="60" dxfId="119" stopIfTrue="1">
      <formula>LEFT($A168,5)="Nível"</formula>
    </cfRule>
    <cfRule type="expression" priority="61" dxfId="118" stopIfTrue="1">
      <formula>$A168=0</formula>
    </cfRule>
  </conditionalFormatting>
  <conditionalFormatting sqref="D169:E169">
    <cfRule type="expression" priority="39" dxfId="124" stopIfTrue="1">
      <formula>$A169="Meta"</formula>
    </cfRule>
    <cfRule type="expression" priority="40" dxfId="123" stopIfTrue="1">
      <formula>$A169&lt;&gt;"Serviço"</formula>
    </cfRule>
  </conditionalFormatting>
  <conditionalFormatting sqref="C169">
    <cfRule type="expression" priority="41" dxfId="120" stopIfTrue="1">
      <formula>$A169="Meta"</formula>
    </cfRule>
    <cfRule type="expression" priority="42" dxfId="119" stopIfTrue="1">
      <formula>$A169&lt;&gt;"Serviço"</formula>
    </cfRule>
  </conditionalFormatting>
  <conditionalFormatting sqref="A169:B169">
    <cfRule type="expression" priority="43" dxfId="120" stopIfTrue="1">
      <formula>$A169="Meta"</formula>
    </cfRule>
    <cfRule type="expression" priority="44" dxfId="119" stopIfTrue="1">
      <formula>LEFT($A169,5)="Nível"</formula>
    </cfRule>
    <cfRule type="expression" priority="45" dxfId="118" stopIfTrue="1">
      <formula>$A169=0</formula>
    </cfRule>
  </conditionalFormatting>
  <conditionalFormatting sqref="D170:E170">
    <cfRule type="expression" priority="23" dxfId="124" stopIfTrue="1">
      <formula>$A170="Meta"</formula>
    </cfRule>
    <cfRule type="expression" priority="24" dxfId="123" stopIfTrue="1">
      <formula>$A170&lt;&gt;"Serviço"</formula>
    </cfRule>
  </conditionalFormatting>
  <conditionalFormatting sqref="C170">
    <cfRule type="expression" priority="25" dxfId="120" stopIfTrue="1">
      <formula>$A170="Meta"</formula>
    </cfRule>
    <cfRule type="expression" priority="26" dxfId="119" stopIfTrue="1">
      <formula>$A170&lt;&gt;"Serviço"</formula>
    </cfRule>
  </conditionalFormatting>
  <conditionalFormatting sqref="A170:B170">
    <cfRule type="expression" priority="27" dxfId="120" stopIfTrue="1">
      <formula>$A170="Meta"</formula>
    </cfRule>
    <cfRule type="expression" priority="28" dxfId="119" stopIfTrue="1">
      <formula>LEFT($A170,5)="Nível"</formula>
    </cfRule>
    <cfRule type="expression" priority="29" dxfId="118" stopIfTrue="1">
      <formula>$A170=0</formula>
    </cfRule>
  </conditionalFormatting>
  <conditionalFormatting sqref="D140:E140">
    <cfRule type="expression" priority="7" dxfId="124" stopIfTrue="1">
      <formula>$A140="Meta"</formula>
    </cfRule>
    <cfRule type="expression" priority="8" dxfId="123" stopIfTrue="1">
      <formula>$A140&lt;&gt;"Serviço"</formula>
    </cfRule>
  </conditionalFormatting>
  <conditionalFormatting sqref="C140">
    <cfRule type="expression" priority="9" dxfId="120" stopIfTrue="1">
      <formula>$A140="Meta"</formula>
    </cfRule>
    <cfRule type="expression" priority="10" dxfId="119" stopIfTrue="1">
      <formula>$A140&lt;&gt;"Serviço"</formula>
    </cfRule>
  </conditionalFormatting>
  <conditionalFormatting sqref="A140:B140">
    <cfRule type="expression" priority="11" dxfId="120" stopIfTrue="1">
      <formula>$A140="Meta"</formula>
    </cfRule>
    <cfRule type="expression" priority="12" dxfId="119" stopIfTrue="1">
      <formula>LEFT($A140,5)="Nível"</formula>
    </cfRule>
    <cfRule type="expression" priority="13" dxfId="118" stopIfTrue="1">
      <formula>$A140=0</formula>
    </cfRule>
  </conditionalFormatting>
  <dataValidations count="1">
    <dataValidation type="decimal" operator="greaterThanOrEqual" allowBlank="1" showInputMessage="1" showErrorMessage="1" error="Digite apenas números._x000a__x000a_preferencialmente com 02 casas de precisão." sqref="AE11 F11:Y11 F14:Y173 AE14:AE173">
      <formula1>0</formula1>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v008   micro&amp;R&amp;P</oddFooter>
  </headerFooter>
  <ignoredErrors>
    <ignoredError sqref="B179 B176" unlockedFormula="1"/>
    <ignoredError sqref="A12 C12" formula="1"/>
  </ignoredErrors>
  <drawing r:id="rId2"/>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6">
    <tabColor rgb="FFFFFF00"/>
    <outlinePr summaryBelow="0"/>
  </sheetPr>
  <dimension ref="A1:AK91"/>
  <sheetViews>
    <sheetView showGridLines="0" zoomScale="90" zoomScaleNormal="90" zoomScaleSheetLayoutView="100" workbookViewId="0" topLeftCell="L1">
      <selection activeCell="Y79" sqref="Y79"/>
    </sheetView>
  </sheetViews>
  <sheetFormatPr defaultColWidth="9.140625" defaultRowHeight="12.75"/>
  <cols>
    <col min="1" max="4" width="9.140625" style="42" hidden="1" customWidth="1"/>
    <col min="5" max="8" width="5.7109375" style="42" hidden="1" customWidth="1"/>
    <col min="9" max="10" width="6.7109375" style="42" hidden="1" customWidth="1"/>
    <col min="11" max="11" width="10.7109375" style="42" hidden="1" customWidth="1"/>
    <col min="12" max="12" width="10.7109375" style="42" customWidth="1"/>
    <col min="13" max="13" width="40.57421875" style="42" customWidth="1"/>
    <col min="14" max="14" width="16.421875" style="47" customWidth="1"/>
    <col min="15" max="15" width="16.57421875" style="42" bestFit="1" customWidth="1"/>
    <col min="16" max="31" width="15.7109375" style="42" customWidth="1"/>
    <col min="32" max="32" width="0.85546875" style="46" customWidth="1"/>
    <col min="33" max="36" width="9.140625" style="42" customWidth="1"/>
    <col min="37" max="37" width="15.7109375" style="42" hidden="1" customWidth="1"/>
    <col min="38" max="16384" width="9.140625" style="42" customWidth="1"/>
  </cols>
  <sheetData>
    <row r="1" spans="1:37" s="41" customFormat="1" ht="12.9" customHeight="1">
      <c r="A1" s="21"/>
      <c r="B1" s="21"/>
      <c r="C1" s="21"/>
      <c r="D1" s="21"/>
      <c r="E1" s="172"/>
      <c r="F1" s="172"/>
      <c r="G1" s="172"/>
      <c r="H1" s="172"/>
      <c r="I1" s="172"/>
      <c r="J1" s="172"/>
      <c r="K1" s="172"/>
      <c r="L1" s="21"/>
      <c r="M1" s="21"/>
      <c r="N1" s="21"/>
      <c r="O1" s="173" t="s">
        <v>22</v>
      </c>
      <c r="P1" s="174" t="s">
        <v>115</v>
      </c>
      <c r="Q1" s="175"/>
      <c r="R1" s="21"/>
      <c r="S1" s="21"/>
      <c r="T1" s="21"/>
      <c r="U1" s="1"/>
      <c r="V1" s="1"/>
      <c r="W1" s="1"/>
      <c r="X1" s="174" t="s">
        <v>115</v>
      </c>
      <c r="Y1" s="175"/>
      <c r="Z1" s="21"/>
      <c r="AA1" s="21"/>
      <c r="AB1" s="21"/>
      <c r="AC1" s="1"/>
      <c r="AD1" s="1"/>
      <c r="AE1" s="1"/>
      <c r="AF1" s="1"/>
      <c r="AK1" s="1"/>
    </row>
    <row r="2" spans="1:37" s="41" customFormat="1" ht="12.75" customHeight="1">
      <c r="A2" s="1"/>
      <c r="B2" s="1"/>
      <c r="C2" s="1"/>
      <c r="D2" s="1"/>
      <c r="E2" s="1"/>
      <c r="F2" s="1"/>
      <c r="G2" s="1"/>
      <c r="H2" s="1"/>
      <c r="I2" s="1"/>
      <c r="J2" s="1"/>
      <c r="K2" s="1"/>
      <c r="L2" s="1"/>
      <c r="M2" s="1"/>
      <c r="N2" s="1"/>
      <c r="O2" s="173"/>
      <c r="P2" s="176" t="str">
        <f>CHOOSE(1+LOG(1+2*(TipoOrçamento="BASE")+4*(TipoOrçamento="LICITADO")+8*(TipoOrçamento="REPROGRAMADOAC")+16*(TipoOrçamento="REPROGRAMADONPL"),2),"nada","Cronograma Base para Licitação","Cronograma Licitado","Cronograma Licitado Reprogramado","Cronograma Base para Licitação - Reprogramado")</f>
        <v>Cronograma Base para Licitação</v>
      </c>
      <c r="Q2" s="1"/>
      <c r="R2" s="1"/>
      <c r="S2" s="1"/>
      <c r="T2" s="1"/>
      <c r="U2" s="1"/>
      <c r="V2" s="174"/>
      <c r="W2" s="1"/>
      <c r="X2" s="176" t="str">
        <f>CHOOSE(1+LOG(1+2*(TipoOrçamento="BASE")+4*(TipoOrçamento="LICITADO")+8*(TipoOrçamento="REPROGRAMADOAC")+16*(TipoOrçamento="REPROGRAMADONPL"),2),"nada","Cronograma Base para Licitação","Cronograma Licitado","Cronograma Licitado Reprogramado","Cronograma Base para Licitação - Reprogramado")</f>
        <v>Cronograma Base para Licitação</v>
      </c>
      <c r="Y2" s="1"/>
      <c r="Z2" s="1"/>
      <c r="AA2" s="1"/>
      <c r="AB2" s="1"/>
      <c r="AC2" s="1"/>
      <c r="AD2" s="174"/>
      <c r="AE2" s="1"/>
      <c r="AF2" s="1"/>
      <c r="AK2" s="1"/>
    </row>
    <row r="3" spans="1:37" s="41" customFormat="1" ht="12.75" customHeight="1">
      <c r="A3" s="1"/>
      <c r="B3" s="1"/>
      <c r="C3" s="1"/>
      <c r="D3" s="1"/>
      <c r="E3" s="1"/>
      <c r="F3" s="1"/>
      <c r="G3" s="1"/>
      <c r="H3" s="1"/>
      <c r="I3" s="1"/>
      <c r="J3" s="1"/>
      <c r="K3" s="1"/>
      <c r="L3" s="1"/>
      <c r="M3" s="1"/>
      <c r="N3" s="1"/>
      <c r="O3" s="1"/>
      <c r="P3" s="1"/>
      <c r="Q3" s="1"/>
      <c r="R3" s="1"/>
      <c r="S3" s="82"/>
      <c r="T3" s="1"/>
      <c r="U3" s="1"/>
      <c r="V3" s="1"/>
      <c r="W3" s="1"/>
      <c r="X3" s="1"/>
      <c r="Y3" s="1"/>
      <c r="Z3" s="1"/>
      <c r="AA3" s="82"/>
      <c r="AB3" s="1"/>
      <c r="AC3" s="1"/>
      <c r="AD3" s="1"/>
      <c r="AE3" s="1"/>
      <c r="AF3" s="1"/>
      <c r="AK3" s="1"/>
    </row>
    <row r="4" spans="1:37" s="41" customFormat="1" ht="24.9" customHeigh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K4" s="1"/>
    </row>
    <row r="5" spans="1:37" s="41" customFormat="1" ht="24.9"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K5" s="1"/>
    </row>
    <row r="6" spans="1:37" s="41" customFormat="1" ht="24.9" customHeigh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K6" s="1"/>
    </row>
    <row r="7" spans="1:37" s="41" customFormat="1" ht="21.7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K7" s="1"/>
    </row>
    <row r="8" spans="1:37" s="41" customFormat="1" ht="30" customHeight="1">
      <c r="A8" s="177" t="s">
        <v>175</v>
      </c>
      <c r="B8" s="1"/>
      <c r="C8" s="1"/>
      <c r="D8" s="1"/>
      <c r="E8" s="1"/>
      <c r="F8" s="1"/>
      <c r="G8" s="1"/>
      <c r="H8" s="1"/>
      <c r="I8" s="1"/>
      <c r="J8" s="1"/>
      <c r="K8" s="1"/>
      <c r="L8" s="381" t="str">
        <f ca="1">IF(MAX($A$14:$A$82)&lt;&gt;MAX(PO!$V$12:$V$174),"ERRO: CRONOGRAMA DESATUALIZADO",IF(OR(COUNTIF($O$16:$AF$16,"&gt;1")&gt;0,OFFSET($AF$17,0,-1)&lt;&gt;$N$14),"ERRO: CRONOGRAMA NÃO FECHA EM 100%",""))</f>
        <v/>
      </c>
      <c r="M8" s="381"/>
      <c r="N8" s="160" t="str">
        <f>IF(TipoOrçamento="REPROGRAMADOAC","Qtde de Medições realizadas","")</f>
        <v/>
      </c>
      <c r="O8" s="178"/>
      <c r="P8" s="179"/>
      <c r="Q8" s="1"/>
      <c r="R8" s="1"/>
      <c r="S8" s="1"/>
      <c r="T8" s="1"/>
      <c r="U8" s="1"/>
      <c r="V8" s="1"/>
      <c r="W8" s="1"/>
      <c r="X8" s="179"/>
      <c r="Y8" s="1"/>
      <c r="Z8" s="1"/>
      <c r="AA8" s="1"/>
      <c r="AB8" s="1"/>
      <c r="AC8" s="1"/>
      <c r="AD8" s="1"/>
      <c r="AE8" s="1"/>
      <c r="AF8" s="1"/>
      <c r="AK8" s="1"/>
    </row>
    <row r="9" spans="1:37" s="41" customFormat="1" ht="14.1" customHeight="1">
      <c r="A9" s="166">
        <v>2</v>
      </c>
      <c r="B9" s="1"/>
      <c r="C9" s="1"/>
      <c r="D9" s="1"/>
      <c r="E9" s="1"/>
      <c r="F9" s="1"/>
      <c r="G9" s="1"/>
      <c r="H9" s="1"/>
      <c r="I9" s="1"/>
      <c r="J9" s="1"/>
      <c r="K9" s="1"/>
      <c r="L9" s="82"/>
      <c r="M9" s="82"/>
      <c r="N9" s="159">
        <v>1</v>
      </c>
      <c r="O9" s="149">
        <f>IF(AND(TipoOrçamento="REPROGRAMADOAC",$N$9&gt;0),$N$9-1,0)</f>
        <v>0</v>
      </c>
      <c r="P9" s="148">
        <f aca="true" ca="1" t="shared" si="0" ref="P9:AE9">OFFSET(P9,0,-1)+1</f>
        <v>1</v>
      </c>
      <c r="Q9" s="148">
        <f ca="1" t="shared" si="0"/>
        <v>2</v>
      </c>
      <c r="R9" s="148">
        <f ca="1" t="shared" si="0"/>
        <v>3</v>
      </c>
      <c r="S9" s="148">
        <f ca="1" t="shared" si="0"/>
        <v>4</v>
      </c>
      <c r="T9" s="148">
        <f ca="1" t="shared" si="0"/>
        <v>5</v>
      </c>
      <c r="U9" s="148">
        <f ca="1" t="shared" si="0"/>
        <v>6</v>
      </c>
      <c r="V9" s="148">
        <f ca="1" t="shared" si="0"/>
        <v>7</v>
      </c>
      <c r="W9" s="148">
        <f ca="1" t="shared" si="0"/>
        <v>8</v>
      </c>
      <c r="X9" s="148">
        <f ca="1" t="shared" si="0"/>
        <v>9</v>
      </c>
      <c r="Y9" s="148">
        <f ca="1" t="shared" si="0"/>
        <v>10</v>
      </c>
      <c r="Z9" s="148">
        <f ca="1" t="shared" si="0"/>
        <v>11</v>
      </c>
      <c r="AA9" s="148">
        <f ca="1" t="shared" si="0"/>
        <v>12</v>
      </c>
      <c r="AB9" s="148">
        <f ca="1" t="shared" si="0"/>
        <v>13</v>
      </c>
      <c r="AC9" s="148">
        <f ca="1" t="shared" si="0"/>
        <v>14</v>
      </c>
      <c r="AD9" s="148">
        <f ca="1" t="shared" si="0"/>
        <v>15</v>
      </c>
      <c r="AE9" s="148">
        <f ca="1" t="shared" si="0"/>
        <v>16</v>
      </c>
      <c r="AF9" s="1"/>
      <c r="AK9" s="148">
        <f ca="1">OFFSET(AK9,0,-1)+1</f>
        <v>1</v>
      </c>
    </row>
    <row r="10" spans="1:37" s="43" customFormat="1" ht="30" customHeight="1">
      <c r="A10" s="180" t="s">
        <v>160</v>
      </c>
      <c r="B10" s="180" t="s">
        <v>129</v>
      </c>
      <c r="C10" s="180" t="s">
        <v>3</v>
      </c>
      <c r="D10" s="180" t="s">
        <v>123</v>
      </c>
      <c r="E10" s="180" t="s">
        <v>109</v>
      </c>
      <c r="F10" s="180" t="s">
        <v>110</v>
      </c>
      <c r="G10" s="180" t="s">
        <v>127</v>
      </c>
      <c r="H10" s="180" t="s">
        <v>128</v>
      </c>
      <c r="I10" s="180" t="s">
        <v>124</v>
      </c>
      <c r="J10" s="180" t="s">
        <v>125</v>
      </c>
      <c r="K10" s="180" t="s">
        <v>177</v>
      </c>
      <c r="L10" s="181" t="s">
        <v>146</v>
      </c>
      <c r="M10" s="182" t="s">
        <v>159</v>
      </c>
      <c r="N10" s="183" t="s">
        <v>139</v>
      </c>
      <c r="O10" s="218" t="str">
        <f>IF(TipoOrçamento="REPROGRAMADOAC","Reinício de Obra","Início de Obra")&amp;CHAR(10)&amp;TEXT(DADOS!A48,"dd/mm/aa")</f>
        <v>Início de Obra
01/11/23</v>
      </c>
      <c r="P10" s="219" t="str">
        <f ca="1">IF(AND(TipoOrçamento="REPROGRAMADOAC",$N$9&gt;0,N10="Valores Totais (R$)"),"Parcela "&amp;$N$9&amp;" Executado","Parcela "&amp;P$9&amp;CHAR(10)&amp;TEXT(DATE(YEAR(DADOS!$A$48),MONTH(DADOS!$A$48)+P$9-IF(AND(TipoOrçamento="REPROGRAMADOAC",$N$9&gt;0),$N$9,0),1),"mmm/aa"))</f>
        <v>Parcela 1
dez/23</v>
      </c>
      <c r="Q10" s="210" t="str">
        <f ca="1">IF(AND(TipoOrçamento="REPROGRAMADOAC",$N$9&gt;0,O10="Valores Totais (R$)"),"Parcela "&amp;$N$9&amp;" Executado","Parcela "&amp;Q$9&amp;CHAR(10)&amp;TEXT(DATE(YEAR(DADOS!$A$48),MONTH(DADOS!$A$48)+Q$9-IF(AND(TipoOrçamento="REPROGRAMADOAC",$N$9&gt;0),$N$9,0),1),"mmm/aa"))</f>
        <v>Parcela 2
jan/24</v>
      </c>
      <c r="R10" s="210" t="str">
        <f ca="1">IF(AND(TipoOrçamento="REPROGRAMADOAC",$N$9&gt;0,P10="Valores Totais (R$)"),"Parcela "&amp;$N$9&amp;" Executado","Parcela "&amp;R$9&amp;CHAR(10)&amp;TEXT(DATE(YEAR(DADOS!$A$48),MONTH(DADOS!$A$48)+R$9-IF(AND(TipoOrçamento="REPROGRAMADOAC",$N$9&gt;0),$N$9,0),1),"mmm/aa"))</f>
        <v>Parcela 3
fev/24</v>
      </c>
      <c r="S10" s="210" t="str">
        <f ca="1">IF(AND(TipoOrçamento="REPROGRAMADOAC",$N$9&gt;0,Q10="Valores Totais (R$)"),"Parcela "&amp;$N$9&amp;" Executado","Parcela "&amp;S$9&amp;CHAR(10)&amp;TEXT(DATE(YEAR(DADOS!$A$48),MONTH(DADOS!$A$48)+S$9-IF(AND(TipoOrçamento="REPROGRAMADOAC",$N$9&gt;0),$N$9,0),1),"mmm/aa"))</f>
        <v>Parcela 4
mar/24</v>
      </c>
      <c r="T10" s="210" t="str">
        <f ca="1">IF(AND(TipoOrçamento="REPROGRAMADOAC",$N$9&gt;0,R10="Valores Totais (R$)"),"Parcela "&amp;$N$9&amp;" Executado","Parcela "&amp;T$9&amp;CHAR(10)&amp;TEXT(DATE(YEAR(DADOS!$A$48),MONTH(DADOS!$A$48)+T$9-IF(AND(TipoOrçamento="REPROGRAMADOAC",$N$9&gt;0),$N$9,0),1),"mmm/aa"))</f>
        <v>Parcela 5
abr/24</v>
      </c>
      <c r="U10" s="210" t="str">
        <f ca="1">IF(AND(TipoOrçamento="REPROGRAMADOAC",$N$9&gt;0,S10="Valores Totais (R$)"),"Parcela "&amp;$N$9&amp;" Executado","Parcela "&amp;U$9&amp;CHAR(10)&amp;TEXT(DATE(YEAR(DADOS!$A$48),MONTH(DADOS!$A$48)+U$9-IF(AND(TipoOrçamento="REPROGRAMADOAC",$N$9&gt;0),$N$9,0),1),"mmm/aa"))</f>
        <v>Parcela 6
mai/24</v>
      </c>
      <c r="V10" s="210" t="str">
        <f ca="1">IF(AND(TipoOrçamento="REPROGRAMADOAC",$N$9&gt;0,T10="Valores Totais (R$)"),"Parcela "&amp;$N$9&amp;" Executado","Parcela "&amp;V$9&amp;CHAR(10)&amp;TEXT(DATE(YEAR(DADOS!$A$48),MONTH(DADOS!$A$48)+V$9-IF(AND(TipoOrçamento="REPROGRAMADOAC",$N$9&gt;0),$N$9,0),1),"mmm/aa"))</f>
        <v>Parcela 7
jun/24</v>
      </c>
      <c r="W10" s="222" t="str">
        <f ca="1">IF(AND(TipoOrçamento="REPROGRAMADOAC",$N$9&gt;0,U10="Valores Totais (R$)"),"Parcela "&amp;$N$9&amp;" Executado","Parcela "&amp;W$9&amp;CHAR(10)&amp;TEXT(DATE(YEAR(DADOS!$A$48),MONTH(DADOS!$A$48)+W$9-IF(AND(TipoOrçamento="REPROGRAMADOAC",$N$9&gt;0),$N$9,0),1),"mmm/aa"))</f>
        <v>Parcela 8
jul/24</v>
      </c>
      <c r="X10" s="219" t="str">
        <f ca="1">IF(AND(TipoOrçamento="REPROGRAMADOAC",$N$9&gt;0,V10="Valores Totais (R$)"),"Parcela "&amp;$N$9&amp;" Executado","Parcela "&amp;X$9&amp;CHAR(10)&amp;TEXT(DATE(YEAR(DADOS!$A$48),MONTH(DADOS!$A$48)+X$9-IF(AND(TipoOrçamento="REPROGRAMADOAC",$N$9&gt;0),$N$9,0),1),"mmm/aa"))</f>
        <v>Parcela 9
ago/24</v>
      </c>
      <c r="Y10" s="235" t="str">
        <f ca="1">IF(AND(TipoOrçamento="REPROGRAMADOAC",$N$9&gt;0,W10="Valores Totais (R$)"),"Parcela "&amp;$N$9&amp;" Executado","Parcela "&amp;Y$9&amp;CHAR(10)&amp;TEXT(DATE(YEAR(DADOS!$A$48),MONTH(DADOS!$A$48)+Y$9-IF(AND(TipoOrçamento="REPROGRAMADOAC",$N$9&gt;0),$N$9,0),1),"mmm/aa"))</f>
        <v>Parcela 10
set/24</v>
      </c>
      <c r="Z10" s="235" t="str">
        <f ca="1">IF(AND(TipoOrçamento="REPROGRAMADOAC",$N$9&gt;0,X10="Valores Totais (R$)"),"Parcela "&amp;$N$9&amp;" Executado","Parcela "&amp;Z$9&amp;CHAR(10)&amp;TEXT(DATE(YEAR(DADOS!$A$48),MONTH(DADOS!$A$48)+Z$9-IF(AND(TipoOrçamento="REPROGRAMADOAC",$N$9&gt;0),$N$9,0),1),"mmm/aa"))</f>
        <v>Parcela 11
out/24</v>
      </c>
      <c r="AA10" s="235" t="str">
        <f ca="1">IF(AND(TipoOrçamento="REPROGRAMADOAC",$N$9&gt;0,Y10="Valores Totais (R$)"),"Parcela "&amp;$N$9&amp;" Executado","Parcela "&amp;AA$9&amp;CHAR(10)&amp;TEXT(DATE(YEAR(DADOS!$A$48),MONTH(DADOS!$A$48)+AA$9-IF(AND(TipoOrçamento="REPROGRAMADOAC",$N$9&gt;0),$N$9,0),1),"mmm/aa"))</f>
        <v>Parcela 12
nov/24</v>
      </c>
      <c r="AB10" s="235" t="str">
        <f ca="1">IF(AND(TipoOrçamento="REPROGRAMADOAC",$N$9&gt;0,Z10="Valores Totais (R$)"),"Parcela "&amp;$N$9&amp;" Executado","Parcela "&amp;AB$9&amp;CHAR(10)&amp;TEXT(DATE(YEAR(DADOS!$A$48),MONTH(DADOS!$A$48)+AB$9-IF(AND(TipoOrçamento="REPROGRAMADOAC",$N$9&gt;0),$N$9,0),1),"mmm/aa"))</f>
        <v>Parcela 13
dez/24</v>
      </c>
      <c r="AC10" s="235" t="str">
        <f ca="1">IF(AND(TipoOrçamento="REPROGRAMADOAC",$N$9&gt;0,AA10="Valores Totais (R$)"),"Parcela "&amp;$N$9&amp;" Executado","Parcela "&amp;AC$9&amp;CHAR(10)&amp;TEXT(DATE(YEAR(DADOS!$A$48),MONTH(DADOS!$A$48)+AC$9-IF(AND(TipoOrçamento="REPROGRAMADOAC",$N$9&gt;0),$N$9,0),1),"mmm/aa"))</f>
        <v>Parcela 14
jan/25</v>
      </c>
      <c r="AD10" s="235" t="str">
        <f ca="1">IF(AND(TipoOrçamento="REPROGRAMADOAC",$N$9&gt;0,AB10="Valores Totais (R$)"),"Parcela "&amp;$N$9&amp;" Executado","Parcela "&amp;AD$9&amp;CHAR(10)&amp;TEXT(DATE(YEAR(DADOS!$A$48),MONTH(DADOS!$A$48)+AD$9-IF(AND(TipoOrçamento="REPROGRAMADOAC",$N$9&gt;0),$N$9,0),1),"mmm/aa"))</f>
        <v>Parcela 15
fev/25</v>
      </c>
      <c r="AE10" s="222" t="str">
        <f ca="1">IF(AND(TipoOrçamento="REPROGRAMADOAC",$N$9&gt;0,AC10="Valores Totais (R$)"),"Parcela "&amp;$N$9&amp;" Executado","Parcela "&amp;AE$9&amp;CHAR(10)&amp;TEXT(DATE(YEAR(DADOS!$A$48),MONTH(DADOS!$A$48)+AE$9-IF(AND(TipoOrçamento="REPROGRAMADOAC",$N$9&gt;0),$N$9,0),1),"mmm/aa"))</f>
        <v>Parcela 16
mar/25</v>
      </c>
      <c r="AF10" s="195"/>
      <c r="AK10" s="210" t="str">
        <f ca="1">IF(AND(TipoOrçamento="REPROGRAMADOAC",$N$9&gt;0,AI10="Valores Totais (R$)"),"Parcela "&amp;$N$9&amp;" Executado","Parcela "&amp;AK$9&amp;CHAR(10)&amp;TEXT(DATE(YEAR(DADOS!$A$48),MONTH(DADOS!$A$48)+AK$9-IF(AND(TipoOrçamento="REPROGRAMADOAC",$N$9&gt;0),$N$9,0),1),"mmm/aa"))</f>
        <v>Parcela 1
dez/23</v>
      </c>
    </row>
    <row r="11" spans="1:37" ht="14.25" customHeight="1" hidden="1">
      <c r="A11" s="82"/>
      <c r="B11" s="82"/>
      <c r="C11" s="82"/>
      <c r="D11" s="82"/>
      <c r="E11" s="82"/>
      <c r="F11" s="82"/>
      <c r="G11" s="82"/>
      <c r="H11" s="82"/>
      <c r="I11" s="82"/>
      <c r="J11" s="82"/>
      <c r="K11" s="82"/>
      <c r="L11" s="375" t="e">
        <f ca="1">INDEX(PO!K$12:K$174,MATCH($A13,PO!$V$12:$V$174,0))</f>
        <v>#VALUE!</v>
      </c>
      <c r="M11" s="377" t="e">
        <f ca="1">INDEX(PO!N$12:N$174,MATCH($A13,PO!$V$12:$V$174,0))</f>
        <v>#VALUE!</v>
      </c>
      <c r="N11" s="379" t="e">
        <f ca="1">IF(ROUND(K13,2)=0,K13,ROUND(K13,2))</f>
        <v>#VALUE!</v>
      </c>
      <c r="O11" s="220" t="s">
        <v>142</v>
      </c>
      <c r="P11" s="225" t="e">
        <f ca="1">IF($B13,0,P12-IF(ISNUMBER(O12),O12,0))</f>
        <v>#VALUE!</v>
      </c>
      <c r="Q11" s="226" t="e">
        <f aca="true" t="shared" si="1" ref="Q11:W11">IF($B13,0,Q12-IF(ISNUMBER(P12),P12,0))</f>
        <v>#VALUE!</v>
      </c>
      <c r="R11" s="226" t="e">
        <f ca="1" t="shared" si="1"/>
        <v>#VALUE!</v>
      </c>
      <c r="S11" s="226" t="e">
        <f ca="1" t="shared" si="1"/>
        <v>#VALUE!</v>
      </c>
      <c r="T11" s="226" t="e">
        <f ca="1" t="shared" si="1"/>
        <v>#VALUE!</v>
      </c>
      <c r="U11" s="226" t="e">
        <f ca="1" t="shared" si="1"/>
        <v>#VALUE!</v>
      </c>
      <c r="V11" s="226" t="e">
        <f ca="1" t="shared" si="1"/>
        <v>#VALUE!</v>
      </c>
      <c r="W11" s="227" t="e">
        <f ca="1" t="shared" si="1"/>
        <v>#VALUE!</v>
      </c>
      <c r="X11" s="225" t="e">
        <f ca="1">IF($B13,0,X12-IF(ISNUMBER(W12),W12,0))</f>
        <v>#VALUE!</v>
      </c>
      <c r="Y11" s="226" t="e">
        <f aca="true" t="shared" si="2" ref="Y11">IF($B13,0,Y12-IF(ISNUMBER(X12),X12,0))</f>
        <v>#VALUE!</v>
      </c>
      <c r="Z11" s="226" t="e">
        <f aca="true" t="shared" si="3" ref="Z11">IF($B13,0,Z12-IF(ISNUMBER(Y12),Y12,0))</f>
        <v>#VALUE!</v>
      </c>
      <c r="AA11" s="226" t="e">
        <f aca="true" t="shared" si="4" ref="AA11">IF($B13,0,AA12-IF(ISNUMBER(Z12),Z12,0))</f>
        <v>#VALUE!</v>
      </c>
      <c r="AB11" s="226" t="e">
        <f aca="true" t="shared" si="5" ref="AB11">IF($B13,0,AB12-IF(ISNUMBER(AA12),AA12,0))</f>
        <v>#VALUE!</v>
      </c>
      <c r="AC11" s="226" t="e">
        <f aca="true" t="shared" si="6" ref="AC11">IF($B13,0,AC12-IF(ISNUMBER(AB12),AB12,0))</f>
        <v>#VALUE!</v>
      </c>
      <c r="AD11" s="226" t="e">
        <f aca="true" t="shared" si="7" ref="AD11">IF($B13,0,AD12-IF(ISNUMBER(AC12),AC12,0))</f>
        <v>#VALUE!</v>
      </c>
      <c r="AE11" s="227" t="e">
        <f aca="true" t="shared" si="8" ref="AE11">IF($B13,0,AE12-IF(ISNUMBER(AD12),AD12,0))</f>
        <v>#VALUE!</v>
      </c>
      <c r="AF11" s="196"/>
      <c r="AK11" s="221" t="e">
        <f ca="1">IF($B13,0,AK12-IF(ISNUMBER(AJ12),AJ12,0))</f>
        <v>#VALUE!</v>
      </c>
    </row>
    <row r="12" spans="1:37" ht="13.8" hidden="1">
      <c r="A12" s="184"/>
      <c r="B12" s="184"/>
      <c r="C12" s="184"/>
      <c r="D12" s="184"/>
      <c r="E12" s="184"/>
      <c r="F12" s="184"/>
      <c r="G12" s="184"/>
      <c r="H12" s="184"/>
      <c r="I12" s="184"/>
      <c r="J12" s="184"/>
      <c r="K12" s="184"/>
      <c r="L12" s="376"/>
      <c r="M12" s="378"/>
      <c r="N12" s="380"/>
      <c r="O12" s="170" t="s">
        <v>144</v>
      </c>
      <c r="P12" s="198" t="e">
        <f ca="1">MIN(IF($B13,P11+IF(ISNUMBER(O12),O12,0),P13/$N11),1)</f>
        <v>#VALUE!</v>
      </c>
      <c r="Q12" s="168" t="e">
        <f aca="true" t="shared" si="9" ref="Q12:W12">MIN(IF($B13,Q11+IF(ISNUMBER(P12),P12,0),Q13/$N11),1)</f>
        <v>#VALUE!</v>
      </c>
      <c r="R12" s="168" t="e">
        <f ca="1" t="shared" si="9"/>
        <v>#VALUE!</v>
      </c>
      <c r="S12" s="168" t="e">
        <f ca="1" t="shared" si="9"/>
        <v>#VALUE!</v>
      </c>
      <c r="T12" s="168" t="e">
        <f ca="1" t="shared" si="9"/>
        <v>#VALUE!</v>
      </c>
      <c r="U12" s="168" t="e">
        <f ca="1" t="shared" si="9"/>
        <v>#VALUE!</v>
      </c>
      <c r="V12" s="168" t="e">
        <f ca="1" t="shared" si="9"/>
        <v>#VALUE!</v>
      </c>
      <c r="W12" s="168" t="e">
        <f ca="1" t="shared" si="9"/>
        <v>#VALUE!</v>
      </c>
      <c r="X12" s="198" t="e">
        <f ca="1">MIN(IF($B13,X11+IF(ISNUMBER(W12),W12,0),X13/$N11),1)</f>
        <v>#VALUE!</v>
      </c>
      <c r="Y12" s="168" t="e">
        <f aca="true" t="shared" si="10" ref="Y12">MIN(IF($B13,Y11+IF(ISNUMBER(X12),X12,0),Y13/$N11),1)</f>
        <v>#VALUE!</v>
      </c>
      <c r="Z12" s="168" t="e">
        <f aca="true" t="shared" si="11" ref="Z12">MIN(IF($B13,Z11+IF(ISNUMBER(Y12),Y12,0),Z13/$N11),1)</f>
        <v>#VALUE!</v>
      </c>
      <c r="AA12" s="168" t="e">
        <f aca="true" t="shared" si="12" ref="AA12">MIN(IF($B13,AA11+IF(ISNUMBER(Z12),Z12,0),AA13/$N11),1)</f>
        <v>#VALUE!</v>
      </c>
      <c r="AB12" s="168" t="e">
        <f aca="true" t="shared" si="13" ref="AB12">MIN(IF($B13,AB11+IF(ISNUMBER(AA12),AA12,0),AB13/$N11),1)</f>
        <v>#VALUE!</v>
      </c>
      <c r="AC12" s="168" t="e">
        <f aca="true" t="shared" si="14" ref="AC12">MIN(IF($B13,AC11+IF(ISNUMBER(AB12),AB12,0),AC13/$N11),1)</f>
        <v>#VALUE!</v>
      </c>
      <c r="AD12" s="168" t="e">
        <f aca="true" t="shared" si="15" ref="AD12">MIN(IF($B13,AD11+IF(ISNUMBER(AC12),AC12,0),AD13/$N11),1)</f>
        <v>#VALUE!</v>
      </c>
      <c r="AE12" s="168" t="e">
        <f aca="true" t="shared" si="16" ref="AE12">MIN(IF($B13,AE11+IF(ISNUMBER(AD12),AD12,0),AE13/$N11),1)</f>
        <v>#VALUE!</v>
      </c>
      <c r="AF12" s="196"/>
      <c r="AK12" s="168" t="e">
        <f ca="1">MIN(IF($B13,AK11+IF(ISNUMBER(AJ12),AJ12,0),AK13/$N11),1)</f>
        <v>#VALUE!</v>
      </c>
    </row>
    <row r="13" spans="1:37" ht="13.8" hidden="1">
      <c r="A13" s="184" t="e">
        <f ca="1">OFFSET(A13,-CFF.NumLinha,0)+1</f>
        <v>#VALUE!</v>
      </c>
      <c r="B13" s="184" t="e">
        <f ca="1">$C13&gt;=OFFSET($C13,CFF.NumLinha,0)</f>
        <v>#VALUE!</v>
      </c>
      <c r="C13" s="184" t="e">
        <f ca="1">INDEX(PO!A$12:A$174,MATCH($A13,PO!$V$12:$V$174,0))</f>
        <v>#VALUE!</v>
      </c>
      <c r="D13" s="184" t="e">
        <f ca="1">IF(ISERROR(J13),I13,SMALL(I13:J13,1))-1</f>
        <v>#VALUE!</v>
      </c>
      <c r="E13" s="184" t="e">
        <f ca="1">IF($C13=1,OFFSET(E13,-CFF.NumLinha,0)+1,OFFSET(E13,-CFF.NumLinha,0))</f>
        <v>#VALUE!</v>
      </c>
      <c r="F13" s="184" t="e">
        <f ca="1">IF($C13=1,0,IF($C13=2,OFFSET(F13,-CFF.NumLinha,0)+1,OFFSET(F13,-CFF.NumLinha,0)))</f>
        <v>#VALUE!</v>
      </c>
      <c r="G13" s="184" t="e">
        <f ca="1">IF(AND($C13&lt;=2,$C13&lt;&gt;0),0,IF($C13=3,OFFSET(G13,-CFF.NumLinha,0)+1,OFFSET(G13,-CFF.NumLinha,0)))</f>
        <v>#VALUE!</v>
      </c>
      <c r="H13" s="184" t="e">
        <f ca="1">IF(AND($C13&lt;=3,$C13&lt;&gt;0),0,IF($C13=4,OFFSET(H13,-CFF.NumLinha,0)+1,OFFSET(H13,-CFF.NumLinha,0)))</f>
        <v>#VALUE!</v>
      </c>
      <c r="I13" s="184" t="e">
        <f ca="1">MATCH(0,OFFSET($D13,1,$C13,ROW($A$81)-ROW($A13)),0)</f>
        <v>#VALUE!</v>
      </c>
      <c r="J13" s="184" t="e">
        <f ca="1">MATCH(OFFSET($D13,0,$C13)+1,OFFSET($D13,1,$C13,ROW($A$81)-ROW($A13)),0)</f>
        <v>#VALUE!</v>
      </c>
      <c r="K13" s="185" t="e">
        <f ca="1">ROUND(INDEX(PO!T$12:T$174,MATCH($A13,PO!$V$12:$V$174,0)),2)+10^-12</f>
        <v>#VALUE!</v>
      </c>
      <c r="L13" s="376"/>
      <c r="M13" s="378"/>
      <c r="N13" s="380"/>
      <c r="O13" s="204" t="s">
        <v>20</v>
      </c>
      <c r="P13" s="199" t="e">
        <f ca="1">IF($B13,ROUND(P12*$N11,2),ROUND(SUMIF(OFFSET($B13,1,0,$D13),TRUE,OFFSET(P13,1,0,$D13))/SUMIF(OFFSET($B13,1,0,$D13),TRUE,OFFSET($K13,1,0,$D13))*$N11,2))</f>
        <v>#VALUE!</v>
      </c>
      <c r="Q13" s="169" t="e">
        <f aca="true" ca="1" t="shared" si="17" ref="Q13:W13">IF($B13,ROUND(Q12*$N11,2),ROUND(SUMIF(OFFSET($B13,1,0,$D13),TRUE,OFFSET(Q13,1,0,$D13))/SUMIF(OFFSET($B13,1,0,$D13),TRUE,OFFSET($K13,1,0,$D13))*$N11,2))</f>
        <v>#VALUE!</v>
      </c>
      <c r="R13" s="169" t="e">
        <f ca="1" t="shared" si="17"/>
        <v>#VALUE!</v>
      </c>
      <c r="S13" s="169" t="e">
        <f ca="1" t="shared" si="17"/>
        <v>#VALUE!</v>
      </c>
      <c r="T13" s="169" t="e">
        <f ca="1" t="shared" si="17"/>
        <v>#VALUE!</v>
      </c>
      <c r="U13" s="169" t="e">
        <f ca="1" t="shared" si="17"/>
        <v>#VALUE!</v>
      </c>
      <c r="V13" s="169" t="e">
        <f ca="1" t="shared" si="17"/>
        <v>#VALUE!</v>
      </c>
      <c r="W13" s="207" t="e">
        <f ca="1" t="shared" si="17"/>
        <v>#VALUE!</v>
      </c>
      <c r="X13" s="199" t="e">
        <f ca="1">IF($B13,ROUND(X12*$N11,2),ROUND(SUMIF(OFFSET($B13,1,0,$D13),TRUE,OFFSET(X13,1,0,$D13))/SUMIF(OFFSET($B13,1,0,$D13),TRUE,OFFSET($K13,1,0,$D13))*$N11,2))</f>
        <v>#VALUE!</v>
      </c>
      <c r="Y13" s="169" t="e">
        <f aca="true" ca="1" t="shared" si="18" ref="Y13:AE13">IF($B13,ROUND(Y12*$N11,2),ROUND(SUMIF(OFFSET($B13,1,0,$D13),TRUE,OFFSET(Y13,1,0,$D13))/SUMIF(OFFSET($B13,1,0,$D13),TRUE,OFFSET($K13,1,0,$D13))*$N11,2))</f>
        <v>#VALUE!</v>
      </c>
      <c r="Z13" s="169" t="e">
        <f ca="1" t="shared" si="18"/>
        <v>#VALUE!</v>
      </c>
      <c r="AA13" s="169" t="e">
        <f ca="1" t="shared" si="18"/>
        <v>#VALUE!</v>
      </c>
      <c r="AB13" s="169" t="e">
        <f ca="1" t="shared" si="18"/>
        <v>#VALUE!</v>
      </c>
      <c r="AC13" s="169" t="e">
        <f ca="1" t="shared" si="18"/>
        <v>#VALUE!</v>
      </c>
      <c r="AD13" s="169" t="e">
        <f ca="1" t="shared" si="18"/>
        <v>#VALUE!</v>
      </c>
      <c r="AE13" s="207" t="e">
        <f ca="1" t="shared" si="18"/>
        <v>#VALUE!</v>
      </c>
      <c r="AF13" s="196"/>
      <c r="AK13" s="169" t="e">
        <f ca="1">IF($B13,ROUND(AK12*$N11,2),ROUND(SUMIF(OFFSET($B13,1,0,$D13),TRUE,OFFSET(AK13,1,0,$D13))/SUMIF(OFFSET($B13,1,0,$D13),TRUE,OFFSET($K13,1,0,$D13))*$N11,2))</f>
        <v>#VALUE!</v>
      </c>
    </row>
    <row r="14" spans="1:37" s="44" customFormat="1" ht="12.75" customHeight="1">
      <c r="A14" s="1"/>
      <c r="B14" s="1"/>
      <c r="C14" s="1"/>
      <c r="D14" s="1"/>
      <c r="E14" s="1"/>
      <c r="F14" s="1"/>
      <c r="G14" s="1"/>
      <c r="H14" s="1"/>
      <c r="I14" s="1"/>
      <c r="J14" s="1"/>
      <c r="K14" s="1"/>
      <c r="L14" s="386" t="s">
        <v>19</v>
      </c>
      <c r="M14" s="387"/>
      <c r="N14" s="392">
        <f ca="1">IF(PO!$T$12=0,10^-12,PO!$T$12)</f>
        <v>3381908.6399999997</v>
      </c>
      <c r="O14" s="167" t="s">
        <v>142</v>
      </c>
      <c r="P14" s="205">
        <f ca="1">ROUND(P15/$N14,4)</f>
        <v>0.1</v>
      </c>
      <c r="Q14" s="206">
        <f aca="true" t="shared" si="19" ref="Q14:AE14">ROUND(Q15/$N14,4)</f>
        <v>0.1</v>
      </c>
      <c r="R14" s="206">
        <f ca="1" t="shared" si="19"/>
        <v>0.1</v>
      </c>
      <c r="S14" s="206">
        <f ca="1" t="shared" si="19"/>
        <v>0.1</v>
      </c>
      <c r="T14" s="206">
        <f ca="1" t="shared" si="19"/>
        <v>0.1</v>
      </c>
      <c r="U14" s="206">
        <f ca="1" t="shared" si="19"/>
        <v>0.1</v>
      </c>
      <c r="V14" s="206">
        <f ca="1" t="shared" si="19"/>
        <v>0.1</v>
      </c>
      <c r="W14" s="206">
        <f ca="1" t="shared" si="19"/>
        <v>0.1</v>
      </c>
      <c r="X14" s="205">
        <f ca="1">ROUND(X15/$N14,4)</f>
        <v>0.1</v>
      </c>
      <c r="Y14" s="206">
        <f ca="1" t="shared" si="19"/>
        <v>0.1</v>
      </c>
      <c r="Z14" s="206">
        <f ca="1" t="shared" si="19"/>
        <v>0</v>
      </c>
      <c r="AA14" s="206">
        <f ca="1" t="shared" si="19"/>
        <v>0</v>
      </c>
      <c r="AB14" s="206">
        <f ca="1" t="shared" si="19"/>
        <v>0</v>
      </c>
      <c r="AC14" s="206">
        <f ca="1" t="shared" si="19"/>
        <v>0</v>
      </c>
      <c r="AD14" s="206">
        <f ca="1" t="shared" si="19"/>
        <v>0</v>
      </c>
      <c r="AE14" s="206">
        <f ca="1" t="shared" si="19"/>
        <v>0</v>
      </c>
      <c r="AF14" s="171"/>
      <c r="AK14" s="206">
        <f ca="1">ROUND(AK15/$N14,4)</f>
        <v>0</v>
      </c>
    </row>
    <row r="15" spans="1:37" s="44" customFormat="1" ht="12.75" customHeight="1">
      <c r="A15" s="1"/>
      <c r="B15" s="1"/>
      <c r="C15" s="1"/>
      <c r="D15" s="1"/>
      <c r="E15" s="1"/>
      <c r="F15" s="1"/>
      <c r="G15" s="1"/>
      <c r="H15" s="1"/>
      <c r="I15" s="1"/>
      <c r="J15" s="1"/>
      <c r="K15" s="1"/>
      <c r="L15" s="388"/>
      <c r="M15" s="389"/>
      <c r="N15" s="393"/>
      <c r="O15" s="156" t="s">
        <v>143</v>
      </c>
      <c r="P15" s="200">
        <f ca="1">P17-IF(ISNUMBER(O17),O17,0)</f>
        <v>338190.87</v>
      </c>
      <c r="Q15" s="150">
        <f aca="true" t="shared" si="20" ref="Q15:W15">Q17-IF(ISNUMBER(P17),P17,0)</f>
        <v>338190.87</v>
      </c>
      <c r="R15" s="150">
        <f ca="1" t="shared" si="20"/>
        <v>338190.87</v>
      </c>
      <c r="S15" s="150">
        <f ca="1" t="shared" si="20"/>
        <v>338190.85</v>
      </c>
      <c r="T15" s="150">
        <f ca="1" t="shared" si="20"/>
        <v>338190.91000000015</v>
      </c>
      <c r="U15" s="150">
        <f ca="1" t="shared" si="20"/>
        <v>338190.8099999998</v>
      </c>
      <c r="V15" s="150">
        <f ca="1" t="shared" si="20"/>
        <v>338190.8699999999</v>
      </c>
      <c r="W15" s="150">
        <f ca="1" t="shared" si="20"/>
        <v>338190.8500000001</v>
      </c>
      <c r="X15" s="200">
        <f ca="1">X17-IF(ISNUMBER(W17),W17,0)</f>
        <v>338190.89000000013</v>
      </c>
      <c r="Y15" s="150">
        <f aca="true" t="shared" si="21" ref="Y15">Y17-IF(ISNUMBER(X17),X17,0)</f>
        <v>338190.8500000001</v>
      </c>
      <c r="Z15" s="150">
        <f aca="true" t="shared" si="22" ref="Z15">Z17-IF(ISNUMBER(Y17),Y17,0)</f>
        <v>0</v>
      </c>
      <c r="AA15" s="150">
        <f aca="true" t="shared" si="23" ref="AA15">AA17-IF(ISNUMBER(Z17),Z17,0)</f>
        <v>0</v>
      </c>
      <c r="AB15" s="150">
        <f aca="true" t="shared" si="24" ref="AB15">AB17-IF(ISNUMBER(AA17),AA17,0)</f>
        <v>0</v>
      </c>
      <c r="AC15" s="150">
        <f aca="true" t="shared" si="25" ref="AC15">AC17-IF(ISNUMBER(AB17),AB17,0)</f>
        <v>0</v>
      </c>
      <c r="AD15" s="150">
        <f aca="true" t="shared" si="26" ref="AD15">AD17-IF(ISNUMBER(AC17),AC17,0)</f>
        <v>0</v>
      </c>
      <c r="AE15" s="150">
        <f aca="true" t="shared" si="27" ref="AE15">AE17-IF(ISNUMBER(AD17),AD17,0)</f>
        <v>0</v>
      </c>
      <c r="AF15" s="171"/>
      <c r="AK15" s="150">
        <f ca="1">AK17-IF(ISNUMBER(AJ17),AJ17,0)</f>
        <v>0</v>
      </c>
    </row>
    <row r="16" spans="1:37" s="44" customFormat="1" ht="12.75" customHeight="1">
      <c r="A16" s="1"/>
      <c r="B16" s="1"/>
      <c r="C16" s="1"/>
      <c r="D16" s="1"/>
      <c r="E16" s="1"/>
      <c r="F16" s="1"/>
      <c r="G16" s="1"/>
      <c r="H16" s="1"/>
      <c r="I16" s="1"/>
      <c r="J16" s="1"/>
      <c r="K16" s="1"/>
      <c r="L16" s="388"/>
      <c r="M16" s="389"/>
      <c r="N16" s="393"/>
      <c r="O16" s="157" t="s">
        <v>144</v>
      </c>
      <c r="P16" s="201">
        <f ca="1">ROUND(P17/$N14,4)</f>
        <v>0.1</v>
      </c>
      <c r="Q16" s="151">
        <f aca="true" t="shared" si="28" ref="Q16:W16">ROUND(Q17/$N14,4)</f>
        <v>0.2</v>
      </c>
      <c r="R16" s="151">
        <f ca="1" t="shared" si="28"/>
        <v>0.3</v>
      </c>
      <c r="S16" s="151">
        <f ca="1" t="shared" si="28"/>
        <v>0.4</v>
      </c>
      <c r="T16" s="151">
        <f ca="1" t="shared" si="28"/>
        <v>0.5</v>
      </c>
      <c r="U16" s="151">
        <f ca="1" t="shared" si="28"/>
        <v>0.6</v>
      </c>
      <c r="V16" s="151">
        <f ca="1" t="shared" si="28"/>
        <v>0.7</v>
      </c>
      <c r="W16" s="151">
        <f ca="1" t="shared" si="28"/>
        <v>0.8</v>
      </c>
      <c r="X16" s="201">
        <f ca="1">ROUND(X17/$N14,4)</f>
        <v>0.9</v>
      </c>
      <c r="Y16" s="151">
        <f aca="true" t="shared" si="29" ref="Y16:AE16">ROUND(Y17/$N14,4)</f>
        <v>1</v>
      </c>
      <c r="Z16" s="151">
        <f ca="1" t="shared" si="29"/>
        <v>1</v>
      </c>
      <c r="AA16" s="151">
        <f ca="1" t="shared" si="29"/>
        <v>1</v>
      </c>
      <c r="AB16" s="151">
        <f ca="1" t="shared" si="29"/>
        <v>1</v>
      </c>
      <c r="AC16" s="151">
        <f ca="1" t="shared" si="29"/>
        <v>1</v>
      </c>
      <c r="AD16" s="151">
        <f ca="1" t="shared" si="29"/>
        <v>1</v>
      </c>
      <c r="AE16" s="151">
        <f ca="1" t="shared" si="29"/>
        <v>1</v>
      </c>
      <c r="AF16" s="171"/>
      <c r="AK16" s="151">
        <f ca="1">ROUND(AK17/$N14,4)</f>
        <v>0</v>
      </c>
    </row>
    <row r="17" spans="1:37" s="44" customFormat="1" ht="12.75" customHeight="1">
      <c r="A17" s="114">
        <v>0</v>
      </c>
      <c r="B17" s="1"/>
      <c r="C17" s="1"/>
      <c r="D17" s="114">
        <f>ROW(D$81)-ROW(D18)</f>
        <v>63</v>
      </c>
      <c r="E17" s="1"/>
      <c r="F17" s="1"/>
      <c r="G17" s="1"/>
      <c r="H17" s="1"/>
      <c r="I17" s="1"/>
      <c r="J17" s="1"/>
      <c r="K17" s="1"/>
      <c r="L17" s="390"/>
      <c r="M17" s="391"/>
      <c r="N17" s="394"/>
      <c r="O17" s="158" t="s">
        <v>20</v>
      </c>
      <c r="P17" s="202">
        <f ca="1">SUMIF(OFFSET($C17,1,0):$C$81,1,OFFSET(P17,1,0):P$81)</f>
        <v>338190.87</v>
      </c>
      <c r="Q17" s="152">
        <f ca="1">SUMIF(OFFSET($C17,1,0):$C$81,1,OFFSET(Q17,1,0):Q$81)</f>
        <v>676381.74</v>
      </c>
      <c r="R17" s="152">
        <f ca="1">SUMIF(OFFSET($C17,1,0):$C$81,1,OFFSET(R17,1,0):R$81)</f>
        <v>1014572.61</v>
      </c>
      <c r="S17" s="152">
        <f ca="1">SUMIF(OFFSET($C17,1,0):$C$81,1,OFFSET(S17,1,0):S$81)</f>
        <v>1352763.46</v>
      </c>
      <c r="T17" s="152">
        <f ca="1">SUMIF(OFFSET($C17,1,0):$C$81,1,OFFSET(T17,1,0):T$81)</f>
        <v>1690954.37</v>
      </c>
      <c r="U17" s="152">
        <f ca="1">SUMIF(OFFSET($C17,1,0):$C$81,1,OFFSET(U17,1,0):U$81)</f>
        <v>2029145.18</v>
      </c>
      <c r="V17" s="152">
        <f ca="1">SUMIF(OFFSET($C17,1,0):$C$81,1,OFFSET(V17,1,0):V$81)</f>
        <v>2367336.05</v>
      </c>
      <c r="W17" s="152">
        <f ca="1">SUMIF(OFFSET($C17,1,0):$C$81,1,OFFSET(W17,1,0):W$81)</f>
        <v>2705526.9</v>
      </c>
      <c r="X17" s="202">
        <f ca="1">SUMIF(OFFSET($C17,1,0):$C$81,1,OFFSET(X17,1,0):X$81)</f>
        <v>3043717.79</v>
      </c>
      <c r="Y17" s="152">
        <f ca="1">SUMIF(OFFSET($C17,1,0):$C$81,1,OFFSET(Y17,1,0):Y$81)</f>
        <v>3381908.64</v>
      </c>
      <c r="Z17" s="152">
        <f ca="1">SUMIF(OFFSET($C17,1,0):$C$81,1,OFFSET(Z17,1,0):Z$81)</f>
        <v>3381908.64</v>
      </c>
      <c r="AA17" s="152">
        <f ca="1">SUMIF(OFFSET($C17,1,0):$C$81,1,OFFSET(AA17,1,0):AA$81)</f>
        <v>3381908.64</v>
      </c>
      <c r="AB17" s="152">
        <f ca="1">SUMIF(OFFSET($C17,1,0):$C$81,1,OFFSET(AB17,1,0):AB$81)</f>
        <v>3381908.64</v>
      </c>
      <c r="AC17" s="152">
        <f ca="1">SUMIF(OFFSET($C17,1,0):$C$81,1,OFFSET(AC17,1,0):AC$81)</f>
        <v>3381908.64</v>
      </c>
      <c r="AD17" s="152">
        <f ca="1">SUMIF(OFFSET($C17,1,0):$C$81,1,OFFSET(AD17,1,0):AD$81)</f>
        <v>3381908.64</v>
      </c>
      <c r="AE17" s="152">
        <f ca="1">SUMIF(OFFSET($C17,1,0):$C$81,1,OFFSET(AE17,1,0):AE$81)</f>
        <v>3381908.64</v>
      </c>
      <c r="AF17" s="171"/>
      <c r="AK17" s="152">
        <f ca="1">SUMIF(OFFSET($C17,1,0):$C$81,1,OFFSET(AK17,1,0):AK$81)</f>
        <v>0</v>
      </c>
    </row>
    <row r="18" spans="1:37" ht="14.25" customHeight="1">
      <c r="A18" s="1"/>
      <c r="B18" s="1"/>
      <c r="C18" s="1"/>
      <c r="D18" s="1"/>
      <c r="E18" s="1"/>
      <c r="F18" s="1"/>
      <c r="G18" s="1"/>
      <c r="H18" s="1"/>
      <c r="I18" s="1"/>
      <c r="J18" s="1"/>
      <c r="K18" s="1"/>
      <c r="L18" s="375" t="str">
        <f ca="1">INDEX(PO!K$12:K$174,MATCH($A20,PO!$V$12:$V$174,0))</f>
        <v>1.</v>
      </c>
      <c r="M18" s="377" t="str">
        <f ca="1">INDEX(PO!N$12:N$174,MATCH($A20,PO!$V$12:$V$174,0))</f>
        <v xml:space="preserve">Centros de Comercialização de Produtos Associados ao Turismo </v>
      </c>
      <c r="N18" s="379">
        <f ca="1">IF(ROUND(K20,2)=0,K20,ROUND(K20,2))</f>
        <v>3381908.64</v>
      </c>
      <c r="O18" s="203" t="s">
        <v>142</v>
      </c>
      <c r="P18" s="225">
        <v>0</v>
      </c>
      <c r="Q18" s="226">
        <f aca="true" t="shared" si="30" ref="Q18:AE18">IF($B20,0,Q19-IF(ISNUMBER(P19),P19,0))</f>
        <v>0.10000000177414609</v>
      </c>
      <c r="R18" s="226">
        <f ca="1" t="shared" si="30"/>
        <v>0.10000000177414609</v>
      </c>
      <c r="S18" s="226">
        <f ca="1" t="shared" si="30"/>
        <v>0.09999999586032576</v>
      </c>
      <c r="T18" s="226">
        <f ca="1" t="shared" si="30"/>
        <v>0.10000001360178679</v>
      </c>
      <c r="U18" s="226">
        <f ca="1" t="shared" si="30"/>
        <v>0.09999998403268506</v>
      </c>
      <c r="V18" s="226">
        <f ca="1" t="shared" si="30"/>
        <v>0.10000000177414603</v>
      </c>
      <c r="W18" s="227">
        <f ca="1" t="shared" si="30"/>
        <v>0.09999999586032582</v>
      </c>
      <c r="X18" s="225">
        <f ca="1" t="shared" si="30"/>
        <v>0.10000000768796646</v>
      </c>
      <c r="Y18" s="226">
        <f ca="1" t="shared" si="30"/>
        <v>0.09999999586032582</v>
      </c>
      <c r="Z18" s="226">
        <f ca="1" t="shared" si="30"/>
        <v>0</v>
      </c>
      <c r="AA18" s="226">
        <f ca="1" t="shared" si="30"/>
        <v>0</v>
      </c>
      <c r="AB18" s="226">
        <f ca="1" t="shared" si="30"/>
        <v>0</v>
      </c>
      <c r="AC18" s="226">
        <f ca="1" t="shared" si="30"/>
        <v>0</v>
      </c>
      <c r="AD18" s="226">
        <f ca="1" t="shared" si="30"/>
        <v>0</v>
      </c>
      <c r="AE18" s="227">
        <f ca="1" t="shared" si="30"/>
        <v>0</v>
      </c>
      <c r="AF18" s="197" t="s">
        <v>106</v>
      </c>
      <c r="AK18" s="221">
        <f ca="1">IF($B20,0,AK19-IF(ISNUMBER(AJ19),AJ19,0))</f>
        <v>0</v>
      </c>
    </row>
    <row r="19" spans="1:37" ht="13.8">
      <c r="A19" s="1"/>
      <c r="B19" s="1"/>
      <c r="C19" s="1"/>
      <c r="D19" s="1"/>
      <c r="E19" s="1"/>
      <c r="F19" s="1"/>
      <c r="G19" s="1"/>
      <c r="H19" s="1"/>
      <c r="I19" s="1"/>
      <c r="J19" s="1"/>
      <c r="K19" s="1"/>
      <c r="L19" s="376"/>
      <c r="M19" s="378"/>
      <c r="N19" s="380"/>
      <c r="O19" s="170" t="s">
        <v>144</v>
      </c>
      <c r="P19" s="198">
        <f aca="true" t="shared" si="31" ref="P19:AE19">MIN(IF($B20,P18+IF(ISNUMBER(O19),O19,0),P20/$N18),1)</f>
        <v>0.10000000177414609</v>
      </c>
      <c r="Q19" s="168">
        <f ca="1" t="shared" si="31"/>
        <v>0.20000000354829217</v>
      </c>
      <c r="R19" s="168">
        <f ca="1" t="shared" si="31"/>
        <v>0.30000000532243826</v>
      </c>
      <c r="S19" s="168">
        <f ca="1" t="shared" si="31"/>
        <v>0.400000001182764</v>
      </c>
      <c r="T19" s="168">
        <f ca="1" t="shared" si="31"/>
        <v>0.5000000147845508</v>
      </c>
      <c r="U19" s="168">
        <f ca="1" t="shared" si="31"/>
        <v>0.5999999988172359</v>
      </c>
      <c r="V19" s="168">
        <f ca="1" t="shared" si="31"/>
        <v>0.7000000005913819</v>
      </c>
      <c r="W19" s="168">
        <f ca="1" t="shared" si="31"/>
        <v>0.7999999964517077</v>
      </c>
      <c r="X19" s="198">
        <f ca="1" t="shared" si="31"/>
        <v>0.9000000041396742</v>
      </c>
      <c r="Y19" s="168">
        <f ca="1" t="shared" si="31"/>
        <v>1</v>
      </c>
      <c r="Z19" s="168">
        <f ca="1" t="shared" si="31"/>
        <v>1</v>
      </c>
      <c r="AA19" s="168">
        <f ca="1" t="shared" si="31"/>
        <v>1</v>
      </c>
      <c r="AB19" s="168">
        <f ca="1" t="shared" si="31"/>
        <v>1</v>
      </c>
      <c r="AC19" s="168">
        <f ca="1" t="shared" si="31"/>
        <v>1</v>
      </c>
      <c r="AD19" s="168">
        <f ca="1" t="shared" si="31"/>
        <v>1</v>
      </c>
      <c r="AE19" s="168">
        <f ca="1" t="shared" si="31"/>
        <v>1</v>
      </c>
      <c r="AF19" s="196"/>
      <c r="AK19" s="168">
        <f ca="1">MIN(IF($B20,AK18+IF(ISNUMBER(AJ19),AJ19,0),AK20/$N18),1)</f>
        <v>0</v>
      </c>
    </row>
    <row r="20" spans="1:37" ht="13.8">
      <c r="A20" s="114">
        <f ca="1">OFFSET(A20,-CFF.NumLinha,0)+1</f>
        <v>1</v>
      </c>
      <c r="B20" s="1" t="b">
        <f ca="1">$C20&gt;=OFFSET($C20,CFF.NumLinha,0)</f>
        <v>0</v>
      </c>
      <c r="C20" s="184">
        <f ca="1">INDEX(PO!A$12:A$174,MATCH($A20,PO!$V$12:$V$174,0))</f>
        <v>1</v>
      </c>
      <c r="D20" s="184">
        <f ca="1">IF(ISERROR(J20),I20,SMALL(I20:J20,1))-1</f>
        <v>60</v>
      </c>
      <c r="E20" s="184">
        <f ca="1">IF($C20=1,OFFSET(E20,-CFF.NumLinha,0)+1,OFFSET(E20,-CFF.NumLinha,0))</f>
        <v>1</v>
      </c>
      <c r="F20" s="184">
        <f ca="1">IF($C20=1,0,IF($C20=2,OFFSET(F20,-CFF.NumLinha,0)+1,OFFSET(F20,-CFF.NumLinha,0)))</f>
        <v>0</v>
      </c>
      <c r="G20" s="184">
        <f ca="1">IF(AND($C20&lt;=2,$C20&lt;&gt;0),0,IF($C20=3,OFFSET(G20,-CFF.NumLinha,0)+1,OFFSET(G20,-CFF.NumLinha,0)))</f>
        <v>0</v>
      </c>
      <c r="H20" s="184">
        <f ca="1">IF(AND($C20&lt;=3,$C20&lt;&gt;0),0,IF($C20=4,OFFSET(H20,-CFF.NumLinha,0)+1,OFFSET(H20,-CFF.NumLinha,0)))</f>
        <v>0</v>
      </c>
      <c r="I20" s="184">
        <f ca="1">MATCH(0,OFFSET($D20,1,$C20,ROW($A$81)-ROW($A20)),0)</f>
        <v>61</v>
      </c>
      <c r="J20" s="184" t="e">
        <f ca="1">MATCH(OFFSET($D20,0,$C20)+1,OFFSET($D20,1,$C20,ROW($A$81)-ROW($A20)),0)</f>
        <v>#N/A</v>
      </c>
      <c r="K20" s="185">
        <f ca="1">ROUND(INDEX(PO!T$12:T$174,MATCH($A20,PO!$V$12:$V$174,0)),2)+10^-12</f>
        <v>3381908.64</v>
      </c>
      <c r="L20" s="376"/>
      <c r="M20" s="378"/>
      <c r="N20" s="380"/>
      <c r="O20" s="204" t="s">
        <v>20</v>
      </c>
      <c r="P20" s="199">
        <f aca="true" ca="1" t="shared" si="32" ref="P20:AE20">IF($B20,ROUND(P19*$N18,2),ROUND(SUMIF(OFFSET($B20,1,0,$D20),TRUE,OFFSET(P20,1,0,$D20))/SUMIF(OFFSET($B20,1,0,$D20),TRUE,OFFSET($K20,1,0,$D20))*$N18,2))</f>
        <v>338190.87</v>
      </c>
      <c r="Q20" s="169">
        <f ca="1" t="shared" si="32"/>
        <v>676381.74</v>
      </c>
      <c r="R20" s="169">
        <f ca="1" t="shared" si="32"/>
        <v>1014572.61</v>
      </c>
      <c r="S20" s="169">
        <f ca="1" t="shared" si="32"/>
        <v>1352763.46</v>
      </c>
      <c r="T20" s="169">
        <f ca="1" t="shared" si="32"/>
        <v>1690954.37</v>
      </c>
      <c r="U20" s="169">
        <f ca="1" t="shared" si="32"/>
        <v>2029145.18</v>
      </c>
      <c r="V20" s="169">
        <f ca="1" t="shared" si="32"/>
        <v>2367336.05</v>
      </c>
      <c r="W20" s="207">
        <f ca="1" t="shared" si="32"/>
        <v>2705526.9</v>
      </c>
      <c r="X20" s="199">
        <f ca="1" t="shared" si="32"/>
        <v>3043717.79</v>
      </c>
      <c r="Y20" s="169">
        <f ca="1" t="shared" si="32"/>
        <v>3381908.64</v>
      </c>
      <c r="Z20" s="169">
        <f ca="1" t="shared" si="32"/>
        <v>3381908.64</v>
      </c>
      <c r="AA20" s="169">
        <f ca="1" t="shared" si="32"/>
        <v>3381908.64</v>
      </c>
      <c r="AB20" s="169">
        <f ca="1" t="shared" si="32"/>
        <v>3381908.64</v>
      </c>
      <c r="AC20" s="169">
        <f ca="1" t="shared" si="32"/>
        <v>3381908.64</v>
      </c>
      <c r="AD20" s="169">
        <f ca="1" t="shared" si="32"/>
        <v>3381908.64</v>
      </c>
      <c r="AE20" s="207">
        <f ca="1" t="shared" si="32"/>
        <v>3381908.64</v>
      </c>
      <c r="AF20" s="196"/>
      <c r="AK20" s="169">
        <f ca="1">IF($B20,ROUND(AK19*$N18,2),ROUND(SUMIF(OFFSET($B20,1,0,$D20),TRUE,OFFSET(AK20,1,0,$D20))/SUMIF(OFFSET($B20,1,0,$D20),TRUE,OFFSET($K20,1,0,$D20))*$N18,2))</f>
        <v>0</v>
      </c>
    </row>
    <row r="21" spans="1:37" ht="14.25" customHeight="1">
      <c r="A21" s="82"/>
      <c r="B21" s="82"/>
      <c r="C21" s="82"/>
      <c r="D21" s="82"/>
      <c r="E21" s="82"/>
      <c r="F21" s="82"/>
      <c r="G21" s="82"/>
      <c r="H21" s="82"/>
      <c r="I21" s="82"/>
      <c r="J21" s="82"/>
      <c r="K21" s="82"/>
      <c r="L21" s="375" t="str">
        <f ca="1">INDEX(PO!K$12:K$174,MATCH($A23,PO!$V$12:$V$174,0))</f>
        <v>1.1.</v>
      </c>
      <c r="M21" s="377" t="str">
        <f ca="1">INDEX(PO!N$12:N$174,MATCH($A23,PO!$V$12:$V$174,0))</f>
        <v xml:space="preserve">Serviços Preliminares e movimentação de terra </v>
      </c>
      <c r="N21" s="379">
        <f aca="true" t="shared" si="33" ref="N21">IF(ROUND(K23,2)=0,K23,ROUND(K23,2))</f>
        <v>124514.96</v>
      </c>
      <c r="O21" s="220" t="s">
        <v>142</v>
      </c>
      <c r="P21" s="225">
        <v>0.1</v>
      </c>
      <c r="Q21" s="226">
        <v>0.1</v>
      </c>
      <c r="R21" s="226">
        <v>0.1</v>
      </c>
      <c r="S21" s="226">
        <v>0.1</v>
      </c>
      <c r="T21" s="226">
        <v>0.1</v>
      </c>
      <c r="U21" s="226">
        <v>0.1</v>
      </c>
      <c r="V21" s="226">
        <v>0.1</v>
      </c>
      <c r="W21" s="227">
        <v>0.1</v>
      </c>
      <c r="X21" s="225">
        <v>0.1</v>
      </c>
      <c r="Y21" s="226">
        <v>0.1</v>
      </c>
      <c r="Z21" s="226">
        <f aca="true" t="shared" si="34" ref="Z21">IF($B23,0,Z22-IF(ISNUMBER(Y22),Y22,0))</f>
        <v>0</v>
      </c>
      <c r="AA21" s="226">
        <f aca="true" t="shared" si="35" ref="AA21">IF($B23,0,AA22-IF(ISNUMBER(Z22),Z22,0))</f>
        <v>0</v>
      </c>
      <c r="AB21" s="226">
        <f aca="true" t="shared" si="36" ref="AB21">IF($B23,0,AB22-IF(ISNUMBER(AA22),AA22,0))</f>
        <v>0</v>
      </c>
      <c r="AC21" s="226">
        <f aca="true" t="shared" si="37" ref="AC21">IF($B23,0,AC22-IF(ISNUMBER(AB22),AB22,0))</f>
        <v>0</v>
      </c>
      <c r="AD21" s="226">
        <f aca="true" t="shared" si="38" ref="AD21">IF($B23,0,AD22-IF(ISNUMBER(AC22),AC22,0))</f>
        <v>0</v>
      </c>
      <c r="AE21" s="227">
        <f aca="true" t="shared" si="39" ref="AE21">IF($B23,0,AE22-IF(ISNUMBER(AD22),AD22,0))</f>
        <v>0</v>
      </c>
      <c r="AF21" s="196"/>
      <c r="AK21" s="221">
        <f aca="true" t="shared" si="40" ref="AK21">IF($B23,0,AK22-IF(ISNUMBER(AJ22),AJ22,0))</f>
        <v>0</v>
      </c>
    </row>
    <row r="22" spans="1:37" ht="13.8">
      <c r="A22" s="184"/>
      <c r="B22" s="184"/>
      <c r="C22" s="184"/>
      <c r="D22" s="184"/>
      <c r="E22" s="184"/>
      <c r="F22" s="184"/>
      <c r="G22" s="184"/>
      <c r="H22" s="184"/>
      <c r="I22" s="184"/>
      <c r="J22" s="184"/>
      <c r="K22" s="184"/>
      <c r="L22" s="376"/>
      <c r="M22" s="378"/>
      <c r="N22" s="380"/>
      <c r="O22" s="170" t="s">
        <v>144</v>
      </c>
      <c r="P22" s="198">
        <f aca="true" t="shared" si="41" ref="P22">MIN(IF($B23,P21+IF(ISNUMBER(O22),O22,0),P23/$N21),1)</f>
        <v>0.1</v>
      </c>
      <c r="Q22" s="168">
        <f aca="true" t="shared" si="42" ref="Q22">MIN(IF($B23,Q21+IF(ISNUMBER(P22),P22,0),Q23/$N21),1)</f>
        <v>0.2</v>
      </c>
      <c r="R22" s="168">
        <f aca="true" t="shared" si="43" ref="R22">MIN(IF($B23,R21+IF(ISNUMBER(Q22),Q22,0),R23/$N21),1)</f>
        <v>0.30000000000000004</v>
      </c>
      <c r="S22" s="168">
        <f aca="true" t="shared" si="44" ref="S22">MIN(IF($B23,S21+IF(ISNUMBER(R22),R22,0),S23/$N21),1)</f>
        <v>0.4</v>
      </c>
      <c r="T22" s="168">
        <f aca="true" t="shared" si="45" ref="T22">MIN(IF($B23,T21+IF(ISNUMBER(S22),S22,0),T23/$N21),1)</f>
        <v>0.5</v>
      </c>
      <c r="U22" s="168">
        <f aca="true" t="shared" si="46" ref="U22">MIN(IF($B23,U21+IF(ISNUMBER(T22),T22,0),U23/$N21),1)</f>
        <v>0.6</v>
      </c>
      <c r="V22" s="168">
        <f aca="true" t="shared" si="47" ref="V22">MIN(IF($B23,V21+IF(ISNUMBER(U22),U22,0),V23/$N21),1)</f>
        <v>0.7</v>
      </c>
      <c r="W22" s="168">
        <f aca="true" t="shared" si="48" ref="W22">MIN(IF($B23,W21+IF(ISNUMBER(V22),V22,0),W23/$N21),1)</f>
        <v>0.7999999999999999</v>
      </c>
      <c r="X22" s="198">
        <f aca="true" t="shared" si="49" ref="X22">MIN(IF($B23,X21+IF(ISNUMBER(W22),W22,0),X23/$N21),1)</f>
        <v>0.8999999999999999</v>
      </c>
      <c r="Y22" s="168">
        <f aca="true" t="shared" si="50" ref="Y22">MIN(IF($B23,Y21+IF(ISNUMBER(X22),X22,0),Y23/$N21),1)</f>
        <v>0.9999999999999999</v>
      </c>
      <c r="Z22" s="168">
        <f aca="true" t="shared" si="51" ref="Z22">MIN(IF($B23,Z21+IF(ISNUMBER(Y22),Y22,0),Z23/$N21),1)</f>
        <v>0.9999999999999999</v>
      </c>
      <c r="AA22" s="168">
        <f aca="true" t="shared" si="52" ref="AA22">MIN(IF($B23,AA21+IF(ISNUMBER(Z22),Z22,0),AA23/$N21),1)</f>
        <v>0.9999999999999999</v>
      </c>
      <c r="AB22" s="168">
        <f aca="true" t="shared" si="53" ref="AB22">MIN(IF($B23,AB21+IF(ISNUMBER(AA22),AA22,0),AB23/$N21),1)</f>
        <v>0.9999999999999999</v>
      </c>
      <c r="AC22" s="168">
        <f aca="true" t="shared" si="54" ref="AC22">MIN(IF($B23,AC21+IF(ISNUMBER(AB22),AB22,0),AC23/$N21),1)</f>
        <v>0.9999999999999999</v>
      </c>
      <c r="AD22" s="168">
        <f aca="true" t="shared" si="55" ref="AD22">MIN(IF($B23,AD21+IF(ISNUMBER(AC22),AC22,0),AD23/$N21),1)</f>
        <v>0.9999999999999999</v>
      </c>
      <c r="AE22" s="168">
        <f aca="true" t="shared" si="56" ref="AE22">MIN(IF($B23,AE21+IF(ISNUMBER(AD22),AD22,0),AE23/$N21),1)</f>
        <v>0.9999999999999999</v>
      </c>
      <c r="AF22" s="196"/>
      <c r="AK22" s="168">
        <f aca="true" t="shared" si="57" ref="AK22">MIN(IF($B23,AK21+IF(ISNUMBER(AJ22),AJ22,0),AK23/$N21),1)</f>
        <v>0</v>
      </c>
    </row>
    <row r="23" spans="1:37" ht="13.8">
      <c r="A23" s="184">
        <f ca="1">OFFSET(A23,-CFF.NumLinha,0)+1</f>
        <v>2</v>
      </c>
      <c r="B23" s="184" t="b">
        <f ca="1">$C23&gt;=OFFSET($C23,CFF.NumLinha,0)</f>
        <v>1</v>
      </c>
      <c r="C23" s="184">
        <f ca="1">INDEX(PO!A$12:A$174,MATCH($A23,PO!$V$12:$V$174,0))</f>
        <v>2</v>
      </c>
      <c r="D23" s="184">
        <f aca="true" t="shared" si="58" ref="D23">IF(ISERROR(J23),I23,SMALL(I23:J23,1))-1</f>
        <v>2</v>
      </c>
      <c r="E23" s="184">
        <f ca="1">IF($C23=1,OFFSET(E23,-CFF.NumLinha,0)+1,OFFSET(E23,-CFF.NumLinha,0))</f>
        <v>1</v>
      </c>
      <c r="F23" s="184">
        <f ca="1">IF($C23=1,0,IF($C23=2,OFFSET(F23,-CFF.NumLinha,0)+1,OFFSET(F23,-CFF.NumLinha,0)))</f>
        <v>1</v>
      </c>
      <c r="G23" s="184">
        <f ca="1">IF(AND($C23&lt;=2,$C23&lt;&gt;0),0,IF($C23=3,OFFSET(G23,-CFF.NumLinha,0)+1,OFFSET(G23,-CFF.NumLinha,0)))</f>
        <v>0</v>
      </c>
      <c r="H23" s="184">
        <f ca="1">IF(AND($C23&lt;=3,$C23&lt;&gt;0),0,IF($C23=4,OFFSET(H23,-CFF.NumLinha,0)+1,OFFSET(H23,-CFF.NumLinha,0)))</f>
        <v>0</v>
      </c>
      <c r="I23" s="184">
        <f aca="true" ca="1" t="shared" si="59" ref="I23">MATCH(0,OFFSET($D23,1,$C23,ROW($A$81)-ROW($A23)),0)</f>
        <v>58</v>
      </c>
      <c r="J23" s="184">
        <f aca="true" ca="1" t="shared" si="60" ref="J23">MATCH(OFFSET($D23,0,$C23)+1,OFFSET($D23,1,$C23,ROW($A$81)-ROW($A23)),0)</f>
        <v>3</v>
      </c>
      <c r="K23" s="185">
        <f ca="1">ROUND(INDEX(PO!T$12:T$174,MATCH($A23,PO!$V$12:$V$174,0)),2)+10^-12</f>
        <v>124514.96</v>
      </c>
      <c r="L23" s="376"/>
      <c r="M23" s="378"/>
      <c r="N23" s="380"/>
      <c r="O23" s="204" t="s">
        <v>20</v>
      </c>
      <c r="P23" s="199">
        <f aca="true" ca="1" t="shared" si="61" ref="P23:AE23">IF($B23,ROUND(P22*$N21,2),ROUND(SUMIF(OFFSET($B23,1,0,$D23),TRUE,OFFSET(P23,1,0,$D23))/SUMIF(OFFSET($B23,1,0,$D23),TRUE,OFFSET($K23,1,0,$D23))*$N21,2))</f>
        <v>12451.5</v>
      </c>
      <c r="Q23" s="169">
        <f ca="1" t="shared" si="61"/>
        <v>24902.99</v>
      </c>
      <c r="R23" s="169">
        <f ca="1" t="shared" si="61"/>
        <v>37354.49</v>
      </c>
      <c r="S23" s="169">
        <f ca="1" t="shared" si="61"/>
        <v>49805.98</v>
      </c>
      <c r="T23" s="169">
        <f ca="1" t="shared" si="61"/>
        <v>62257.48</v>
      </c>
      <c r="U23" s="169">
        <f ca="1" t="shared" si="61"/>
        <v>74708.98</v>
      </c>
      <c r="V23" s="169">
        <f ca="1" t="shared" si="61"/>
        <v>87160.47</v>
      </c>
      <c r="W23" s="207">
        <f ca="1" t="shared" si="61"/>
        <v>99611.97</v>
      </c>
      <c r="X23" s="199">
        <f ca="1" t="shared" si="61"/>
        <v>112063.46</v>
      </c>
      <c r="Y23" s="169">
        <f ca="1" t="shared" si="61"/>
        <v>124514.96</v>
      </c>
      <c r="Z23" s="169">
        <f ca="1" t="shared" si="61"/>
        <v>124514.96</v>
      </c>
      <c r="AA23" s="169">
        <f ca="1" t="shared" si="61"/>
        <v>124514.96</v>
      </c>
      <c r="AB23" s="169">
        <f ca="1" t="shared" si="61"/>
        <v>124514.96</v>
      </c>
      <c r="AC23" s="169">
        <f ca="1" t="shared" si="61"/>
        <v>124514.96</v>
      </c>
      <c r="AD23" s="169">
        <f ca="1" t="shared" si="61"/>
        <v>124514.96</v>
      </c>
      <c r="AE23" s="207">
        <f ca="1" t="shared" si="61"/>
        <v>124514.96</v>
      </c>
      <c r="AF23" s="196"/>
      <c r="AK23" s="169">
        <f aca="true" ca="1" t="shared" si="62" ref="AK23">IF($B23,ROUND(AK22*$N21,2),ROUND(SUMIF(OFFSET($B23,1,0,$D23),TRUE,OFFSET(AK23,1,0,$D23))/SUMIF(OFFSET($B23,1,0,$D23),TRUE,OFFSET($K23,1,0,$D23))*$N21,2))</f>
        <v>0</v>
      </c>
    </row>
    <row r="24" spans="1:37" ht="14.25" customHeight="1">
      <c r="A24" s="82"/>
      <c r="B24" s="82"/>
      <c r="C24" s="82"/>
      <c r="D24" s="82"/>
      <c r="E24" s="82"/>
      <c r="F24" s="82"/>
      <c r="G24" s="82"/>
      <c r="H24" s="82"/>
      <c r="I24" s="82"/>
      <c r="J24" s="82"/>
      <c r="K24" s="82"/>
      <c r="L24" s="375" t="str">
        <f ca="1">INDEX(PO!K$12:K$174,MATCH($A26,PO!$V$12:$V$174,0))</f>
        <v>1.2.</v>
      </c>
      <c r="M24" s="377" t="str">
        <f ca="1">INDEX(PO!N$12:N$174,MATCH($A26,PO!$V$12:$V$174,0))</f>
        <v xml:space="preserve">Fundação </v>
      </c>
      <c r="N24" s="379">
        <f aca="true" t="shared" si="63" ref="N24">IF(ROUND(K26,2)=0,K26,ROUND(K26,2))</f>
        <v>82288.74</v>
      </c>
      <c r="O24" s="220" t="s">
        <v>142</v>
      </c>
      <c r="P24" s="225">
        <v>0.1</v>
      </c>
      <c r="Q24" s="226">
        <v>0.1</v>
      </c>
      <c r="R24" s="226">
        <v>0.1</v>
      </c>
      <c r="S24" s="226">
        <v>0.1</v>
      </c>
      <c r="T24" s="226">
        <v>0.1</v>
      </c>
      <c r="U24" s="226">
        <v>0.1</v>
      </c>
      <c r="V24" s="226">
        <v>0.1</v>
      </c>
      <c r="W24" s="227">
        <v>0.1</v>
      </c>
      <c r="X24" s="225">
        <v>0.1</v>
      </c>
      <c r="Y24" s="226">
        <v>0.1</v>
      </c>
      <c r="Z24" s="226">
        <f aca="true" t="shared" si="64" ref="Z24">IF($B26,0,Z25-IF(ISNUMBER(Y25),Y25,0))</f>
        <v>0</v>
      </c>
      <c r="AA24" s="226">
        <f aca="true" t="shared" si="65" ref="AA24">IF($B26,0,AA25-IF(ISNUMBER(Z25),Z25,0))</f>
        <v>0</v>
      </c>
      <c r="AB24" s="226">
        <f aca="true" t="shared" si="66" ref="AB24">IF($B26,0,AB25-IF(ISNUMBER(AA25),AA25,0))</f>
        <v>0</v>
      </c>
      <c r="AC24" s="226">
        <f aca="true" t="shared" si="67" ref="AC24">IF($B26,0,AC25-IF(ISNUMBER(AB25),AB25,0))</f>
        <v>0</v>
      </c>
      <c r="AD24" s="226">
        <f aca="true" t="shared" si="68" ref="AD24">IF($B26,0,AD25-IF(ISNUMBER(AC25),AC25,0))</f>
        <v>0</v>
      </c>
      <c r="AE24" s="227">
        <f aca="true" t="shared" si="69" ref="AE24">IF($B26,0,AE25-IF(ISNUMBER(AD25),AD25,0))</f>
        <v>0</v>
      </c>
      <c r="AF24" s="196"/>
      <c r="AK24" s="221">
        <f aca="true" t="shared" si="70" ref="AK24">IF($B26,0,AK25-IF(ISNUMBER(AJ25),AJ25,0))</f>
        <v>0</v>
      </c>
    </row>
    <row r="25" spans="1:37" ht="13.8">
      <c r="A25" s="184"/>
      <c r="B25" s="184"/>
      <c r="C25" s="184"/>
      <c r="D25" s="184"/>
      <c r="E25" s="184"/>
      <c r="F25" s="184"/>
      <c r="G25" s="184"/>
      <c r="H25" s="184"/>
      <c r="I25" s="184"/>
      <c r="J25" s="184"/>
      <c r="K25" s="184"/>
      <c r="L25" s="376"/>
      <c r="M25" s="378"/>
      <c r="N25" s="380"/>
      <c r="O25" s="170" t="s">
        <v>144</v>
      </c>
      <c r="P25" s="198">
        <f aca="true" t="shared" si="71" ref="P25">MIN(IF($B26,P24+IF(ISNUMBER(O25),O25,0),P26/$N24),1)</f>
        <v>0.1</v>
      </c>
      <c r="Q25" s="168">
        <f aca="true" t="shared" si="72" ref="Q25">MIN(IF($B26,Q24+IF(ISNUMBER(P25),P25,0),Q26/$N24),1)</f>
        <v>0.2</v>
      </c>
      <c r="R25" s="168">
        <f aca="true" t="shared" si="73" ref="R25">MIN(IF($B26,R24+IF(ISNUMBER(Q25),Q25,0),R26/$N24),1)</f>
        <v>0.30000000000000004</v>
      </c>
      <c r="S25" s="168">
        <f aca="true" t="shared" si="74" ref="S25">MIN(IF($B26,S24+IF(ISNUMBER(R25),R25,0),S26/$N24),1)</f>
        <v>0.4</v>
      </c>
      <c r="T25" s="168">
        <f aca="true" t="shared" si="75" ref="T25">MIN(IF($B26,T24+IF(ISNUMBER(S25),S25,0),T26/$N24),1)</f>
        <v>0.5</v>
      </c>
      <c r="U25" s="168">
        <f aca="true" t="shared" si="76" ref="U25">MIN(IF($B26,U24+IF(ISNUMBER(T25),T25,0),U26/$N24),1)</f>
        <v>0.6</v>
      </c>
      <c r="V25" s="168">
        <f aca="true" t="shared" si="77" ref="V25">MIN(IF($B26,V24+IF(ISNUMBER(U25),U25,0),V26/$N24),1)</f>
        <v>0.7</v>
      </c>
      <c r="W25" s="168">
        <f aca="true" t="shared" si="78" ref="W25">MIN(IF($B26,W24+IF(ISNUMBER(V25),V25,0),W26/$N24),1)</f>
        <v>0.7999999999999999</v>
      </c>
      <c r="X25" s="198">
        <f aca="true" t="shared" si="79" ref="X25">MIN(IF($B26,X24+IF(ISNUMBER(W25),W25,0),X26/$N24),1)</f>
        <v>0.8999999999999999</v>
      </c>
      <c r="Y25" s="168">
        <f aca="true" t="shared" si="80" ref="Y25">MIN(IF($B26,Y24+IF(ISNUMBER(X25),X25,0),Y26/$N24),1)</f>
        <v>0.9999999999999999</v>
      </c>
      <c r="Z25" s="168">
        <f aca="true" t="shared" si="81" ref="Z25">MIN(IF($B26,Z24+IF(ISNUMBER(Y25),Y25,0),Z26/$N24),1)</f>
        <v>0.9999999999999999</v>
      </c>
      <c r="AA25" s="168">
        <f aca="true" t="shared" si="82" ref="AA25">MIN(IF($B26,AA24+IF(ISNUMBER(Z25),Z25,0),AA26/$N24),1)</f>
        <v>0.9999999999999999</v>
      </c>
      <c r="AB25" s="168">
        <f aca="true" t="shared" si="83" ref="AB25">MIN(IF($B26,AB24+IF(ISNUMBER(AA25),AA25,0),AB26/$N24),1)</f>
        <v>0.9999999999999999</v>
      </c>
      <c r="AC25" s="168">
        <f aca="true" t="shared" si="84" ref="AC25">MIN(IF($B26,AC24+IF(ISNUMBER(AB25),AB25,0),AC26/$N24),1)</f>
        <v>0.9999999999999999</v>
      </c>
      <c r="AD25" s="168">
        <f aca="true" t="shared" si="85" ref="AD25">MIN(IF($B26,AD24+IF(ISNUMBER(AC25),AC25,0),AD26/$N24),1)</f>
        <v>0.9999999999999999</v>
      </c>
      <c r="AE25" s="168">
        <f aca="true" t="shared" si="86" ref="AE25">MIN(IF($B26,AE24+IF(ISNUMBER(AD25),AD25,0),AE26/$N24),1)</f>
        <v>0.9999999999999999</v>
      </c>
      <c r="AF25" s="196"/>
      <c r="AK25" s="168">
        <f aca="true" t="shared" si="87" ref="AK25">MIN(IF($B26,AK24+IF(ISNUMBER(AJ25),AJ25,0),AK26/$N24),1)</f>
        <v>0</v>
      </c>
    </row>
    <row r="26" spans="1:37" ht="13.8">
      <c r="A26" s="184">
        <f ca="1">OFFSET(A26,-CFF.NumLinha,0)+1</f>
        <v>3</v>
      </c>
      <c r="B26" s="184" t="b">
        <f ca="1">$C26&gt;=OFFSET($C26,CFF.NumLinha,0)</f>
        <v>1</v>
      </c>
      <c r="C26" s="184">
        <f ca="1">INDEX(PO!A$12:A$174,MATCH($A26,PO!$V$12:$V$174,0))</f>
        <v>2</v>
      </c>
      <c r="D26" s="184">
        <f aca="true" t="shared" si="88" ref="D26">IF(ISERROR(J26),I26,SMALL(I26:J26,1))-1</f>
        <v>2</v>
      </c>
      <c r="E26" s="184">
        <f ca="1">IF($C26=1,OFFSET(E26,-CFF.NumLinha,0)+1,OFFSET(E26,-CFF.NumLinha,0))</f>
        <v>1</v>
      </c>
      <c r="F26" s="184">
        <f ca="1">IF($C26=1,0,IF($C26=2,OFFSET(F26,-CFF.NumLinha,0)+1,OFFSET(F26,-CFF.NumLinha,0)))</f>
        <v>2</v>
      </c>
      <c r="G26" s="184">
        <f ca="1">IF(AND($C26&lt;=2,$C26&lt;&gt;0),0,IF($C26=3,OFFSET(G26,-CFF.NumLinha,0)+1,OFFSET(G26,-CFF.NumLinha,0)))</f>
        <v>0</v>
      </c>
      <c r="H26" s="184">
        <f ca="1">IF(AND($C26&lt;=3,$C26&lt;&gt;0),0,IF($C26=4,OFFSET(H26,-CFF.NumLinha,0)+1,OFFSET(H26,-CFF.NumLinha,0)))</f>
        <v>0</v>
      </c>
      <c r="I26" s="184">
        <f aca="true" ca="1" t="shared" si="89" ref="I26">MATCH(0,OFFSET($D26,1,$C26,ROW($A$81)-ROW($A26)),0)</f>
        <v>55</v>
      </c>
      <c r="J26" s="184">
        <f aca="true" ca="1" t="shared" si="90" ref="J26">MATCH(OFFSET($D26,0,$C26)+1,OFFSET($D26,1,$C26,ROW($A$81)-ROW($A26)),0)</f>
        <v>3</v>
      </c>
      <c r="K26" s="185">
        <f ca="1">ROUND(INDEX(PO!T$12:T$174,MATCH($A26,PO!$V$12:$V$174,0)),2)+10^-12</f>
        <v>82288.74</v>
      </c>
      <c r="L26" s="376"/>
      <c r="M26" s="378"/>
      <c r="N26" s="380"/>
      <c r="O26" s="204" t="s">
        <v>20</v>
      </c>
      <c r="P26" s="199">
        <f aca="true" ca="1" t="shared" si="91" ref="P26:AE26">IF($B26,ROUND(P25*$N24,2),ROUND(SUMIF(OFFSET($B26,1,0,$D26),TRUE,OFFSET(P26,1,0,$D26))/SUMIF(OFFSET($B26,1,0,$D26),TRUE,OFFSET($K26,1,0,$D26))*$N24,2))</f>
        <v>8228.87</v>
      </c>
      <c r="Q26" s="169">
        <f ca="1" t="shared" si="91"/>
        <v>16457.75</v>
      </c>
      <c r="R26" s="169">
        <f ca="1" t="shared" si="91"/>
        <v>24686.62</v>
      </c>
      <c r="S26" s="169">
        <f ca="1" t="shared" si="91"/>
        <v>32915.5</v>
      </c>
      <c r="T26" s="169">
        <f ca="1" t="shared" si="91"/>
        <v>41144.37</v>
      </c>
      <c r="U26" s="169">
        <f ca="1" t="shared" si="91"/>
        <v>49373.24</v>
      </c>
      <c r="V26" s="169">
        <f ca="1" t="shared" si="91"/>
        <v>57602.12</v>
      </c>
      <c r="W26" s="207">
        <f ca="1" t="shared" si="91"/>
        <v>65830.99</v>
      </c>
      <c r="X26" s="199">
        <f ca="1" t="shared" si="91"/>
        <v>74059.87</v>
      </c>
      <c r="Y26" s="169">
        <f ca="1" t="shared" si="91"/>
        <v>82288.74</v>
      </c>
      <c r="Z26" s="169">
        <f ca="1" t="shared" si="91"/>
        <v>82288.74</v>
      </c>
      <c r="AA26" s="169">
        <f ca="1" t="shared" si="91"/>
        <v>82288.74</v>
      </c>
      <c r="AB26" s="169">
        <f ca="1" t="shared" si="91"/>
        <v>82288.74</v>
      </c>
      <c r="AC26" s="169">
        <f ca="1" t="shared" si="91"/>
        <v>82288.74</v>
      </c>
      <c r="AD26" s="169">
        <f ca="1" t="shared" si="91"/>
        <v>82288.74</v>
      </c>
      <c r="AE26" s="207">
        <f ca="1" t="shared" si="91"/>
        <v>82288.74</v>
      </c>
      <c r="AF26" s="196"/>
      <c r="AK26" s="169">
        <f aca="true" ca="1" t="shared" si="92" ref="AK26">IF($B26,ROUND(AK25*$N24,2),ROUND(SUMIF(OFFSET($B26,1,0,$D26),TRUE,OFFSET(AK26,1,0,$D26))/SUMIF(OFFSET($B26,1,0,$D26),TRUE,OFFSET($K26,1,0,$D26))*$N24,2))</f>
        <v>0</v>
      </c>
    </row>
    <row r="27" spans="1:37" ht="14.25" customHeight="1">
      <c r="A27" s="82"/>
      <c r="B27" s="82"/>
      <c r="C27" s="82"/>
      <c r="D27" s="82"/>
      <c r="E27" s="82"/>
      <c r="F27" s="82"/>
      <c r="G27" s="82"/>
      <c r="H27" s="82"/>
      <c r="I27" s="82"/>
      <c r="J27" s="82"/>
      <c r="K27" s="82"/>
      <c r="L27" s="375" t="str">
        <f ca="1">INDEX(PO!K$12:K$174,MATCH($A29,PO!$V$12:$V$174,0))</f>
        <v>1.3.</v>
      </c>
      <c r="M27" s="377" t="str">
        <f ca="1">INDEX(PO!N$12:N$174,MATCH($A29,PO!$V$12:$V$174,0))</f>
        <v>Alicerce 20x60cm</v>
      </c>
      <c r="N27" s="379">
        <f aca="true" t="shared" si="93" ref="N27">IF(ROUND(K29,2)=0,K29,ROUND(K29,2))</f>
        <v>95548.85</v>
      </c>
      <c r="O27" s="220" t="s">
        <v>142</v>
      </c>
      <c r="P27" s="225">
        <v>0.1</v>
      </c>
      <c r="Q27" s="226">
        <v>0.1</v>
      </c>
      <c r="R27" s="226">
        <v>0.1</v>
      </c>
      <c r="S27" s="226">
        <v>0.1</v>
      </c>
      <c r="T27" s="226">
        <v>0.1</v>
      </c>
      <c r="U27" s="226">
        <v>0.1</v>
      </c>
      <c r="V27" s="226">
        <v>0.1</v>
      </c>
      <c r="W27" s="227">
        <v>0.1</v>
      </c>
      <c r="X27" s="225">
        <v>0.1</v>
      </c>
      <c r="Y27" s="226">
        <v>0.1</v>
      </c>
      <c r="Z27" s="226">
        <f aca="true" t="shared" si="94" ref="Z27">IF($B29,0,Z28-IF(ISNUMBER(Y28),Y28,0))</f>
        <v>0</v>
      </c>
      <c r="AA27" s="226">
        <f aca="true" t="shared" si="95" ref="AA27">IF($B29,0,AA28-IF(ISNUMBER(Z28),Z28,0))</f>
        <v>0</v>
      </c>
      <c r="AB27" s="226">
        <f aca="true" t="shared" si="96" ref="AB27">IF($B29,0,AB28-IF(ISNUMBER(AA28),AA28,0))</f>
        <v>0</v>
      </c>
      <c r="AC27" s="226">
        <f aca="true" t="shared" si="97" ref="AC27">IF($B29,0,AC28-IF(ISNUMBER(AB28),AB28,0))</f>
        <v>0</v>
      </c>
      <c r="AD27" s="226">
        <f aca="true" t="shared" si="98" ref="AD27">IF($B29,0,AD28-IF(ISNUMBER(AC28),AC28,0))</f>
        <v>0</v>
      </c>
      <c r="AE27" s="227">
        <f aca="true" t="shared" si="99" ref="AE27">IF($B29,0,AE28-IF(ISNUMBER(AD28),AD28,0))</f>
        <v>0</v>
      </c>
      <c r="AF27" s="196"/>
      <c r="AK27" s="221">
        <f aca="true" t="shared" si="100" ref="AK27">IF($B29,0,AK28-IF(ISNUMBER(AJ28),AJ28,0))</f>
        <v>0</v>
      </c>
    </row>
    <row r="28" spans="1:37" ht="13.8">
      <c r="A28" s="184"/>
      <c r="B28" s="184"/>
      <c r="C28" s="184"/>
      <c r="D28" s="184"/>
      <c r="E28" s="184"/>
      <c r="F28" s="184"/>
      <c r="G28" s="184"/>
      <c r="H28" s="184"/>
      <c r="I28" s="184"/>
      <c r="J28" s="184"/>
      <c r="K28" s="184"/>
      <c r="L28" s="376"/>
      <c r="M28" s="378"/>
      <c r="N28" s="380"/>
      <c r="O28" s="170" t="s">
        <v>144</v>
      </c>
      <c r="P28" s="198">
        <f aca="true" t="shared" si="101" ref="P28">MIN(IF($B29,P27+IF(ISNUMBER(O28),O28,0),P29/$N27),1)</f>
        <v>0.1</v>
      </c>
      <c r="Q28" s="168">
        <f aca="true" t="shared" si="102" ref="Q28">MIN(IF($B29,Q27+IF(ISNUMBER(P28),P28,0),Q29/$N27),1)</f>
        <v>0.2</v>
      </c>
      <c r="R28" s="168">
        <f aca="true" t="shared" si="103" ref="R28">MIN(IF($B29,R27+IF(ISNUMBER(Q28),Q28,0),R29/$N27),1)</f>
        <v>0.30000000000000004</v>
      </c>
      <c r="S28" s="168">
        <f aca="true" t="shared" si="104" ref="S28">MIN(IF($B29,S27+IF(ISNUMBER(R28),R28,0),S29/$N27),1)</f>
        <v>0.4</v>
      </c>
      <c r="T28" s="168">
        <f aca="true" t="shared" si="105" ref="T28">MIN(IF($B29,T27+IF(ISNUMBER(S28),S28,0),T29/$N27),1)</f>
        <v>0.5</v>
      </c>
      <c r="U28" s="168">
        <f aca="true" t="shared" si="106" ref="U28">MIN(IF($B29,U27+IF(ISNUMBER(T28),T28,0),U29/$N27),1)</f>
        <v>0.6</v>
      </c>
      <c r="V28" s="168">
        <f aca="true" t="shared" si="107" ref="V28">MIN(IF($B29,V27+IF(ISNUMBER(U28),U28,0),V29/$N27),1)</f>
        <v>0.7</v>
      </c>
      <c r="W28" s="168">
        <f aca="true" t="shared" si="108" ref="W28">MIN(IF($B29,W27+IF(ISNUMBER(V28),V28,0),W29/$N27),1)</f>
        <v>0.7999999999999999</v>
      </c>
      <c r="X28" s="198">
        <f aca="true" t="shared" si="109" ref="X28">MIN(IF($B29,X27+IF(ISNUMBER(W28),W28,0),X29/$N27),1)</f>
        <v>0.8999999999999999</v>
      </c>
      <c r="Y28" s="168">
        <f aca="true" t="shared" si="110" ref="Y28">MIN(IF($B29,Y27+IF(ISNUMBER(X28),X28,0),Y29/$N27),1)</f>
        <v>0.9999999999999999</v>
      </c>
      <c r="Z28" s="168">
        <f aca="true" t="shared" si="111" ref="Z28">MIN(IF($B29,Z27+IF(ISNUMBER(Y28),Y28,0),Z29/$N27),1)</f>
        <v>0.9999999999999999</v>
      </c>
      <c r="AA28" s="168">
        <f aca="true" t="shared" si="112" ref="AA28">MIN(IF($B29,AA27+IF(ISNUMBER(Z28),Z28,0),AA29/$N27),1)</f>
        <v>0.9999999999999999</v>
      </c>
      <c r="AB28" s="168">
        <f aca="true" t="shared" si="113" ref="AB28">MIN(IF($B29,AB27+IF(ISNUMBER(AA28),AA28,0),AB29/$N27),1)</f>
        <v>0.9999999999999999</v>
      </c>
      <c r="AC28" s="168">
        <f aca="true" t="shared" si="114" ref="AC28">MIN(IF($B29,AC27+IF(ISNUMBER(AB28),AB28,0),AC29/$N27),1)</f>
        <v>0.9999999999999999</v>
      </c>
      <c r="AD28" s="168">
        <f aca="true" t="shared" si="115" ref="AD28">MIN(IF($B29,AD27+IF(ISNUMBER(AC28),AC28,0),AD29/$N27),1)</f>
        <v>0.9999999999999999</v>
      </c>
      <c r="AE28" s="168">
        <f aca="true" t="shared" si="116" ref="AE28">MIN(IF($B29,AE27+IF(ISNUMBER(AD28),AD28,0),AE29/$N27),1)</f>
        <v>0.9999999999999999</v>
      </c>
      <c r="AF28" s="196"/>
      <c r="AK28" s="168">
        <f aca="true" t="shared" si="117" ref="AK28">MIN(IF($B29,AK27+IF(ISNUMBER(AJ28),AJ28,0),AK29/$N27),1)</f>
        <v>0</v>
      </c>
    </row>
    <row r="29" spans="1:37" ht="13.8">
      <c r="A29" s="184">
        <f ca="1">OFFSET(A29,-CFF.NumLinha,0)+1</f>
        <v>4</v>
      </c>
      <c r="B29" s="184" t="b">
        <f ca="1">$C29&gt;=OFFSET($C29,CFF.NumLinha,0)</f>
        <v>1</v>
      </c>
      <c r="C29" s="184">
        <f ca="1">INDEX(PO!A$12:A$174,MATCH($A29,PO!$V$12:$V$174,0))</f>
        <v>2</v>
      </c>
      <c r="D29" s="184">
        <f aca="true" t="shared" si="118" ref="D29">IF(ISERROR(J29),I29,SMALL(I29:J29,1))-1</f>
        <v>2</v>
      </c>
      <c r="E29" s="184">
        <f ca="1">IF($C29=1,OFFSET(E29,-CFF.NumLinha,0)+1,OFFSET(E29,-CFF.NumLinha,0))</f>
        <v>1</v>
      </c>
      <c r="F29" s="184">
        <f ca="1">IF($C29=1,0,IF($C29=2,OFFSET(F29,-CFF.NumLinha,0)+1,OFFSET(F29,-CFF.NumLinha,0)))</f>
        <v>3</v>
      </c>
      <c r="G29" s="184">
        <f ca="1">IF(AND($C29&lt;=2,$C29&lt;&gt;0),0,IF($C29=3,OFFSET(G29,-CFF.NumLinha,0)+1,OFFSET(G29,-CFF.NumLinha,0)))</f>
        <v>0</v>
      </c>
      <c r="H29" s="184">
        <f ca="1">IF(AND($C29&lt;=3,$C29&lt;&gt;0),0,IF($C29=4,OFFSET(H29,-CFF.NumLinha,0)+1,OFFSET(H29,-CFF.NumLinha,0)))</f>
        <v>0</v>
      </c>
      <c r="I29" s="184">
        <f aca="true" ca="1" t="shared" si="119" ref="I29">MATCH(0,OFFSET($D29,1,$C29,ROW($A$81)-ROW($A29)),0)</f>
        <v>52</v>
      </c>
      <c r="J29" s="184">
        <f aca="true" ca="1" t="shared" si="120" ref="J29">MATCH(OFFSET($D29,0,$C29)+1,OFFSET($D29,1,$C29,ROW($A$81)-ROW($A29)),0)</f>
        <v>3</v>
      </c>
      <c r="K29" s="185">
        <f ca="1">ROUND(INDEX(PO!T$12:T$174,MATCH($A29,PO!$V$12:$V$174,0)),2)+10^-12</f>
        <v>95548.85</v>
      </c>
      <c r="L29" s="376"/>
      <c r="M29" s="378"/>
      <c r="N29" s="380"/>
      <c r="O29" s="204" t="s">
        <v>20</v>
      </c>
      <c r="P29" s="199">
        <f aca="true" ca="1" t="shared" si="121" ref="P29:AE29">IF($B29,ROUND(P28*$N27,2),ROUND(SUMIF(OFFSET($B29,1,0,$D29),TRUE,OFFSET(P29,1,0,$D29))/SUMIF(OFFSET($B29,1,0,$D29),TRUE,OFFSET($K29,1,0,$D29))*$N27,2))</f>
        <v>9554.89</v>
      </c>
      <c r="Q29" s="169">
        <f ca="1" t="shared" si="121"/>
        <v>19109.77</v>
      </c>
      <c r="R29" s="169">
        <f ca="1" t="shared" si="121"/>
        <v>28664.66</v>
      </c>
      <c r="S29" s="169">
        <f ca="1" t="shared" si="121"/>
        <v>38219.54</v>
      </c>
      <c r="T29" s="169">
        <f ca="1" t="shared" si="121"/>
        <v>47774.43</v>
      </c>
      <c r="U29" s="169">
        <f ca="1" t="shared" si="121"/>
        <v>57329.31</v>
      </c>
      <c r="V29" s="169">
        <f ca="1" t="shared" si="121"/>
        <v>66884.2</v>
      </c>
      <c r="W29" s="207">
        <f ca="1" t="shared" si="121"/>
        <v>76439.08</v>
      </c>
      <c r="X29" s="199">
        <f ca="1" t="shared" si="121"/>
        <v>85993.97</v>
      </c>
      <c r="Y29" s="169">
        <f ca="1" t="shared" si="121"/>
        <v>95548.85</v>
      </c>
      <c r="Z29" s="169">
        <f ca="1" t="shared" si="121"/>
        <v>95548.85</v>
      </c>
      <c r="AA29" s="169">
        <f ca="1" t="shared" si="121"/>
        <v>95548.85</v>
      </c>
      <c r="AB29" s="169">
        <f ca="1" t="shared" si="121"/>
        <v>95548.85</v>
      </c>
      <c r="AC29" s="169">
        <f ca="1" t="shared" si="121"/>
        <v>95548.85</v>
      </c>
      <c r="AD29" s="169">
        <f ca="1" t="shared" si="121"/>
        <v>95548.85</v>
      </c>
      <c r="AE29" s="207">
        <f ca="1" t="shared" si="121"/>
        <v>95548.85</v>
      </c>
      <c r="AF29" s="196"/>
      <c r="AK29" s="169">
        <f aca="true" ca="1" t="shared" si="122" ref="AK29">IF($B29,ROUND(AK28*$N27,2),ROUND(SUMIF(OFFSET($B29,1,0,$D29),TRUE,OFFSET(AK29,1,0,$D29))/SUMIF(OFFSET($B29,1,0,$D29),TRUE,OFFSET($K29,1,0,$D29))*$N27,2))</f>
        <v>0</v>
      </c>
    </row>
    <row r="30" spans="1:37" ht="14.25" customHeight="1">
      <c r="A30" s="82"/>
      <c r="B30" s="82"/>
      <c r="C30" s="82"/>
      <c r="D30" s="82"/>
      <c r="E30" s="82"/>
      <c r="F30" s="82"/>
      <c r="G30" s="82"/>
      <c r="H30" s="82"/>
      <c r="I30" s="82"/>
      <c r="J30" s="82"/>
      <c r="K30" s="82"/>
      <c r="L30" s="375" t="str">
        <f ca="1">INDEX(PO!K$12:K$174,MATCH($A32,PO!$V$12:$V$174,0))</f>
        <v>1.4.</v>
      </c>
      <c r="M30" s="377" t="str">
        <f ca="1">INDEX(PO!N$12:N$174,MATCH($A32,PO!$V$12:$V$174,0))</f>
        <v>Viga Baldrame 20x30cm</v>
      </c>
      <c r="N30" s="379">
        <f aca="true" t="shared" si="123" ref="N30">IF(ROUND(K32,2)=0,K32,ROUND(K32,2))</f>
        <v>154003.93</v>
      </c>
      <c r="O30" s="220" t="s">
        <v>142</v>
      </c>
      <c r="P30" s="225">
        <v>0.1</v>
      </c>
      <c r="Q30" s="226">
        <v>0.1</v>
      </c>
      <c r="R30" s="226">
        <v>0.1</v>
      </c>
      <c r="S30" s="226">
        <v>0.1</v>
      </c>
      <c r="T30" s="226">
        <v>0.1</v>
      </c>
      <c r="U30" s="226">
        <v>0.1</v>
      </c>
      <c r="V30" s="226">
        <v>0.1</v>
      </c>
      <c r="W30" s="227">
        <v>0.1</v>
      </c>
      <c r="X30" s="225">
        <v>0.1</v>
      </c>
      <c r="Y30" s="226">
        <v>0.1</v>
      </c>
      <c r="Z30" s="226">
        <f aca="true" t="shared" si="124" ref="Z30">IF($B32,0,Z31-IF(ISNUMBER(Y31),Y31,0))</f>
        <v>0</v>
      </c>
      <c r="AA30" s="226">
        <f aca="true" t="shared" si="125" ref="AA30">IF($B32,0,AA31-IF(ISNUMBER(Z31),Z31,0))</f>
        <v>0</v>
      </c>
      <c r="AB30" s="226">
        <f aca="true" t="shared" si="126" ref="AB30">IF($B32,0,AB31-IF(ISNUMBER(AA31),AA31,0))</f>
        <v>0</v>
      </c>
      <c r="AC30" s="226">
        <f aca="true" t="shared" si="127" ref="AC30">IF($B32,0,AC31-IF(ISNUMBER(AB31),AB31,0))</f>
        <v>0</v>
      </c>
      <c r="AD30" s="226">
        <f aca="true" t="shared" si="128" ref="AD30">IF($B32,0,AD31-IF(ISNUMBER(AC31),AC31,0))</f>
        <v>0</v>
      </c>
      <c r="AE30" s="227">
        <f aca="true" t="shared" si="129" ref="AE30">IF($B32,0,AE31-IF(ISNUMBER(AD31),AD31,0))</f>
        <v>0</v>
      </c>
      <c r="AF30" s="196"/>
      <c r="AK30" s="221">
        <f aca="true" t="shared" si="130" ref="AK30">IF($B32,0,AK31-IF(ISNUMBER(AJ31),AJ31,0))</f>
        <v>0</v>
      </c>
    </row>
    <row r="31" spans="1:37" ht="13.8">
      <c r="A31" s="184"/>
      <c r="B31" s="184"/>
      <c r="C31" s="184"/>
      <c r="D31" s="184"/>
      <c r="E31" s="184"/>
      <c r="F31" s="184"/>
      <c r="G31" s="184"/>
      <c r="H31" s="184"/>
      <c r="I31" s="184"/>
      <c r="J31" s="184"/>
      <c r="K31" s="184"/>
      <c r="L31" s="376"/>
      <c r="M31" s="378"/>
      <c r="N31" s="380"/>
      <c r="O31" s="170" t="s">
        <v>144</v>
      </c>
      <c r="P31" s="198">
        <f aca="true" t="shared" si="131" ref="P31">MIN(IF($B32,P30+IF(ISNUMBER(O31),O31,0),P32/$N30),1)</f>
        <v>0.1</v>
      </c>
      <c r="Q31" s="168">
        <f aca="true" t="shared" si="132" ref="Q31">MIN(IF($B32,Q30+IF(ISNUMBER(P31),P31,0),Q32/$N30),1)</f>
        <v>0.2</v>
      </c>
      <c r="R31" s="168">
        <f aca="true" t="shared" si="133" ref="R31">MIN(IF($B32,R30+IF(ISNUMBER(Q31),Q31,0),R32/$N30),1)</f>
        <v>0.30000000000000004</v>
      </c>
      <c r="S31" s="168">
        <f aca="true" t="shared" si="134" ref="S31">MIN(IF($B32,S30+IF(ISNUMBER(R31),R31,0),S32/$N30),1)</f>
        <v>0.4</v>
      </c>
      <c r="T31" s="168">
        <f aca="true" t="shared" si="135" ref="T31">MIN(IF($B32,T30+IF(ISNUMBER(S31),S31,0),T32/$N30),1)</f>
        <v>0.5</v>
      </c>
      <c r="U31" s="168">
        <f aca="true" t="shared" si="136" ref="U31">MIN(IF($B32,U30+IF(ISNUMBER(T31),T31,0),U32/$N30),1)</f>
        <v>0.6</v>
      </c>
      <c r="V31" s="168">
        <f aca="true" t="shared" si="137" ref="V31">MIN(IF($B32,V30+IF(ISNUMBER(U31),U31,0),V32/$N30),1)</f>
        <v>0.7</v>
      </c>
      <c r="W31" s="168">
        <f aca="true" t="shared" si="138" ref="W31">MIN(IF($B32,W30+IF(ISNUMBER(V31),V31,0),W32/$N30),1)</f>
        <v>0.7999999999999999</v>
      </c>
      <c r="X31" s="198">
        <f aca="true" t="shared" si="139" ref="X31">MIN(IF($B32,X30+IF(ISNUMBER(W31),W31,0),X32/$N30),1)</f>
        <v>0.8999999999999999</v>
      </c>
      <c r="Y31" s="168">
        <f aca="true" t="shared" si="140" ref="Y31">MIN(IF($B32,Y30+IF(ISNUMBER(X31),X31,0),Y32/$N30),1)</f>
        <v>0.9999999999999999</v>
      </c>
      <c r="Z31" s="168">
        <f aca="true" t="shared" si="141" ref="Z31">MIN(IF($B32,Z30+IF(ISNUMBER(Y31),Y31,0),Z32/$N30),1)</f>
        <v>0.9999999999999999</v>
      </c>
      <c r="AA31" s="168">
        <f aca="true" t="shared" si="142" ref="AA31">MIN(IF($B32,AA30+IF(ISNUMBER(Z31),Z31,0),AA32/$N30),1)</f>
        <v>0.9999999999999999</v>
      </c>
      <c r="AB31" s="168">
        <f aca="true" t="shared" si="143" ref="AB31">MIN(IF($B32,AB30+IF(ISNUMBER(AA31),AA31,0),AB32/$N30),1)</f>
        <v>0.9999999999999999</v>
      </c>
      <c r="AC31" s="168">
        <f aca="true" t="shared" si="144" ref="AC31">MIN(IF($B32,AC30+IF(ISNUMBER(AB31),AB31,0),AC32/$N30),1)</f>
        <v>0.9999999999999999</v>
      </c>
      <c r="AD31" s="168">
        <f aca="true" t="shared" si="145" ref="AD31">MIN(IF($B32,AD30+IF(ISNUMBER(AC31),AC31,0),AD32/$N30),1)</f>
        <v>0.9999999999999999</v>
      </c>
      <c r="AE31" s="168">
        <f aca="true" t="shared" si="146" ref="AE31">MIN(IF($B32,AE30+IF(ISNUMBER(AD31),AD31,0),AE32/$N30),1)</f>
        <v>0.9999999999999999</v>
      </c>
      <c r="AF31" s="196"/>
      <c r="AK31" s="168">
        <f aca="true" t="shared" si="147" ref="AK31">MIN(IF($B32,AK30+IF(ISNUMBER(AJ31),AJ31,0),AK32/$N30),1)</f>
        <v>0</v>
      </c>
    </row>
    <row r="32" spans="1:37" ht="13.8">
      <c r="A32" s="184">
        <f ca="1">OFFSET(A32,-CFF.NumLinha,0)+1</f>
        <v>5</v>
      </c>
      <c r="B32" s="184" t="b">
        <f ca="1">$C32&gt;=OFFSET($C32,CFF.NumLinha,0)</f>
        <v>1</v>
      </c>
      <c r="C32" s="184">
        <f ca="1">INDEX(PO!A$12:A$174,MATCH($A32,PO!$V$12:$V$174,0))</f>
        <v>2</v>
      </c>
      <c r="D32" s="184">
        <f aca="true" t="shared" si="148" ref="D32">IF(ISERROR(J32),I32,SMALL(I32:J32,1))-1</f>
        <v>2</v>
      </c>
      <c r="E32" s="184">
        <f ca="1">IF($C32=1,OFFSET(E32,-CFF.NumLinha,0)+1,OFFSET(E32,-CFF.NumLinha,0))</f>
        <v>1</v>
      </c>
      <c r="F32" s="184">
        <f ca="1">IF($C32=1,0,IF($C32=2,OFFSET(F32,-CFF.NumLinha,0)+1,OFFSET(F32,-CFF.NumLinha,0)))</f>
        <v>4</v>
      </c>
      <c r="G32" s="184">
        <f ca="1">IF(AND($C32&lt;=2,$C32&lt;&gt;0),0,IF($C32=3,OFFSET(G32,-CFF.NumLinha,0)+1,OFFSET(G32,-CFF.NumLinha,0)))</f>
        <v>0</v>
      </c>
      <c r="H32" s="184">
        <f ca="1">IF(AND($C32&lt;=3,$C32&lt;&gt;0),0,IF($C32=4,OFFSET(H32,-CFF.NumLinha,0)+1,OFFSET(H32,-CFF.NumLinha,0)))</f>
        <v>0</v>
      </c>
      <c r="I32" s="184">
        <f aca="true" ca="1" t="shared" si="149" ref="I32">MATCH(0,OFFSET($D32,1,$C32,ROW($A$81)-ROW($A32)),0)</f>
        <v>49</v>
      </c>
      <c r="J32" s="184">
        <f aca="true" ca="1" t="shared" si="150" ref="J32">MATCH(OFFSET($D32,0,$C32)+1,OFFSET($D32,1,$C32,ROW($A$81)-ROW($A32)),0)</f>
        <v>3</v>
      </c>
      <c r="K32" s="185">
        <f ca="1">ROUND(INDEX(PO!T$12:T$174,MATCH($A32,PO!$V$12:$V$174,0)),2)+10^-12</f>
        <v>154003.93</v>
      </c>
      <c r="L32" s="376"/>
      <c r="M32" s="378"/>
      <c r="N32" s="380"/>
      <c r="O32" s="204" t="s">
        <v>20</v>
      </c>
      <c r="P32" s="199">
        <f aca="true" ca="1" t="shared" si="151" ref="P32:AE32">IF($B32,ROUND(P31*$N30,2),ROUND(SUMIF(OFFSET($B32,1,0,$D32),TRUE,OFFSET(P32,1,0,$D32))/SUMIF(OFFSET($B32,1,0,$D32),TRUE,OFFSET($K32,1,0,$D32))*$N30,2))</f>
        <v>15400.39</v>
      </c>
      <c r="Q32" s="169">
        <f ca="1" t="shared" si="151"/>
        <v>30800.79</v>
      </c>
      <c r="R32" s="169">
        <f ca="1" t="shared" si="151"/>
        <v>46201.18</v>
      </c>
      <c r="S32" s="169">
        <f ca="1" t="shared" si="151"/>
        <v>61601.57</v>
      </c>
      <c r="T32" s="169">
        <f ca="1" t="shared" si="151"/>
        <v>77001.97</v>
      </c>
      <c r="U32" s="169">
        <f ca="1" t="shared" si="151"/>
        <v>92402.36</v>
      </c>
      <c r="V32" s="169">
        <f ca="1" t="shared" si="151"/>
        <v>107802.75</v>
      </c>
      <c r="W32" s="207">
        <f ca="1" t="shared" si="151"/>
        <v>123203.14</v>
      </c>
      <c r="X32" s="199">
        <f ca="1" t="shared" si="151"/>
        <v>138603.54</v>
      </c>
      <c r="Y32" s="169">
        <f ca="1" t="shared" si="151"/>
        <v>154003.93</v>
      </c>
      <c r="Z32" s="169">
        <f ca="1" t="shared" si="151"/>
        <v>154003.93</v>
      </c>
      <c r="AA32" s="169">
        <f ca="1" t="shared" si="151"/>
        <v>154003.93</v>
      </c>
      <c r="AB32" s="169">
        <f ca="1" t="shared" si="151"/>
        <v>154003.93</v>
      </c>
      <c r="AC32" s="169">
        <f ca="1" t="shared" si="151"/>
        <v>154003.93</v>
      </c>
      <c r="AD32" s="169">
        <f ca="1" t="shared" si="151"/>
        <v>154003.93</v>
      </c>
      <c r="AE32" s="207">
        <f ca="1" t="shared" si="151"/>
        <v>154003.93</v>
      </c>
      <c r="AF32" s="196"/>
      <c r="AK32" s="169">
        <f aca="true" ca="1" t="shared" si="152" ref="AK32">IF($B32,ROUND(AK31*$N30,2),ROUND(SUMIF(OFFSET($B32,1,0,$D32),TRUE,OFFSET(AK32,1,0,$D32))/SUMIF(OFFSET($B32,1,0,$D32),TRUE,OFFSET($K32,1,0,$D32))*$N30,2))</f>
        <v>0</v>
      </c>
    </row>
    <row r="33" spans="1:37" ht="14.25" customHeight="1">
      <c r="A33" s="82"/>
      <c r="B33" s="82"/>
      <c r="C33" s="82"/>
      <c r="D33" s="82"/>
      <c r="E33" s="82"/>
      <c r="F33" s="82"/>
      <c r="G33" s="82"/>
      <c r="H33" s="82"/>
      <c r="I33" s="82"/>
      <c r="J33" s="82"/>
      <c r="K33" s="82"/>
      <c r="L33" s="375" t="str">
        <f ca="1">INDEX(PO!K$12:K$174,MATCH($A35,PO!$V$12:$V$174,0))</f>
        <v>1.5.</v>
      </c>
      <c r="M33" s="377" t="str">
        <f ca="1">INDEX(PO!N$12:N$174,MATCH($A35,PO!$V$12:$V$174,0))</f>
        <v>Superestrutura - Pilares</v>
      </c>
      <c r="N33" s="379">
        <f aca="true" t="shared" si="153" ref="N33">IF(ROUND(K35,2)=0,K35,ROUND(K35,2))</f>
        <v>63665.66</v>
      </c>
      <c r="O33" s="220" t="s">
        <v>142</v>
      </c>
      <c r="P33" s="225">
        <v>0.1</v>
      </c>
      <c r="Q33" s="226">
        <v>0.1</v>
      </c>
      <c r="R33" s="226">
        <v>0.1</v>
      </c>
      <c r="S33" s="226">
        <v>0.1</v>
      </c>
      <c r="T33" s="226">
        <v>0.1</v>
      </c>
      <c r="U33" s="226">
        <v>0.1</v>
      </c>
      <c r="V33" s="226">
        <v>0.1</v>
      </c>
      <c r="W33" s="227">
        <v>0.1</v>
      </c>
      <c r="X33" s="225">
        <v>0.1</v>
      </c>
      <c r="Y33" s="226">
        <v>0.1</v>
      </c>
      <c r="Z33" s="226">
        <f aca="true" t="shared" si="154" ref="Z33">IF($B35,0,Z34-IF(ISNUMBER(Y34),Y34,0))</f>
        <v>0</v>
      </c>
      <c r="AA33" s="226">
        <f aca="true" t="shared" si="155" ref="AA33">IF($B35,0,AA34-IF(ISNUMBER(Z34),Z34,0))</f>
        <v>0</v>
      </c>
      <c r="AB33" s="226">
        <f aca="true" t="shared" si="156" ref="AB33">IF($B35,0,AB34-IF(ISNUMBER(AA34),AA34,0))</f>
        <v>0</v>
      </c>
      <c r="AC33" s="226">
        <f aca="true" t="shared" si="157" ref="AC33">IF($B35,0,AC34-IF(ISNUMBER(AB34),AB34,0))</f>
        <v>0</v>
      </c>
      <c r="AD33" s="226">
        <f aca="true" t="shared" si="158" ref="AD33">IF($B35,0,AD34-IF(ISNUMBER(AC34),AC34,0))</f>
        <v>0</v>
      </c>
      <c r="AE33" s="227">
        <f aca="true" t="shared" si="159" ref="AE33">IF($B35,0,AE34-IF(ISNUMBER(AD34),AD34,0))</f>
        <v>0</v>
      </c>
      <c r="AF33" s="196"/>
      <c r="AK33" s="221">
        <f aca="true" t="shared" si="160" ref="AK33">IF($B35,0,AK34-IF(ISNUMBER(AJ34),AJ34,0))</f>
        <v>0</v>
      </c>
    </row>
    <row r="34" spans="1:37" ht="13.8">
      <c r="A34" s="184"/>
      <c r="B34" s="184"/>
      <c r="C34" s="184"/>
      <c r="D34" s="184"/>
      <c r="E34" s="184"/>
      <c r="F34" s="184"/>
      <c r="G34" s="184"/>
      <c r="H34" s="184"/>
      <c r="I34" s="184"/>
      <c r="J34" s="184"/>
      <c r="K34" s="184"/>
      <c r="L34" s="376"/>
      <c r="M34" s="378"/>
      <c r="N34" s="380"/>
      <c r="O34" s="170" t="s">
        <v>144</v>
      </c>
      <c r="P34" s="198">
        <f aca="true" t="shared" si="161" ref="P34">MIN(IF($B35,P33+IF(ISNUMBER(O34),O34,0),P35/$N33),1)</f>
        <v>0.1</v>
      </c>
      <c r="Q34" s="168">
        <f aca="true" t="shared" si="162" ref="Q34">MIN(IF($B35,Q33+IF(ISNUMBER(P34),P34,0),Q35/$N33),1)</f>
        <v>0.2</v>
      </c>
      <c r="R34" s="168">
        <f aca="true" t="shared" si="163" ref="R34">MIN(IF($B35,R33+IF(ISNUMBER(Q34),Q34,0),R35/$N33),1)</f>
        <v>0.30000000000000004</v>
      </c>
      <c r="S34" s="168">
        <f aca="true" t="shared" si="164" ref="S34">MIN(IF($B35,S33+IF(ISNUMBER(R34),R34,0),S35/$N33),1)</f>
        <v>0.4</v>
      </c>
      <c r="T34" s="168">
        <f aca="true" t="shared" si="165" ref="T34">MIN(IF($B35,T33+IF(ISNUMBER(S34),S34,0),T35/$N33),1)</f>
        <v>0.5</v>
      </c>
      <c r="U34" s="168">
        <f aca="true" t="shared" si="166" ref="U34">MIN(IF($B35,U33+IF(ISNUMBER(T34),T34,0),U35/$N33),1)</f>
        <v>0.6</v>
      </c>
      <c r="V34" s="168">
        <f aca="true" t="shared" si="167" ref="V34">MIN(IF($B35,V33+IF(ISNUMBER(U34),U34,0),V35/$N33),1)</f>
        <v>0.7</v>
      </c>
      <c r="W34" s="168">
        <f aca="true" t="shared" si="168" ref="W34">MIN(IF($B35,W33+IF(ISNUMBER(V34),V34,0),W35/$N33),1)</f>
        <v>0.7999999999999999</v>
      </c>
      <c r="X34" s="198">
        <f aca="true" t="shared" si="169" ref="X34">MIN(IF($B35,X33+IF(ISNUMBER(W34),W34,0),X35/$N33),1)</f>
        <v>0.8999999999999999</v>
      </c>
      <c r="Y34" s="168">
        <f aca="true" t="shared" si="170" ref="Y34">MIN(IF($B35,Y33+IF(ISNUMBER(X34),X34,0),Y35/$N33),1)</f>
        <v>0.9999999999999999</v>
      </c>
      <c r="Z34" s="168">
        <f aca="true" t="shared" si="171" ref="Z34">MIN(IF($B35,Z33+IF(ISNUMBER(Y34),Y34,0),Z35/$N33),1)</f>
        <v>0.9999999999999999</v>
      </c>
      <c r="AA34" s="168">
        <f aca="true" t="shared" si="172" ref="AA34">MIN(IF($B35,AA33+IF(ISNUMBER(Z34),Z34,0),AA35/$N33),1)</f>
        <v>0.9999999999999999</v>
      </c>
      <c r="AB34" s="168">
        <f aca="true" t="shared" si="173" ref="AB34">MIN(IF($B35,AB33+IF(ISNUMBER(AA34),AA34,0),AB35/$N33),1)</f>
        <v>0.9999999999999999</v>
      </c>
      <c r="AC34" s="168">
        <f aca="true" t="shared" si="174" ref="AC34">MIN(IF($B35,AC33+IF(ISNUMBER(AB34),AB34,0),AC35/$N33),1)</f>
        <v>0.9999999999999999</v>
      </c>
      <c r="AD34" s="168">
        <f aca="true" t="shared" si="175" ref="AD34">MIN(IF($B35,AD33+IF(ISNUMBER(AC34),AC34,0),AD35/$N33),1)</f>
        <v>0.9999999999999999</v>
      </c>
      <c r="AE34" s="168">
        <f aca="true" t="shared" si="176" ref="AE34">MIN(IF($B35,AE33+IF(ISNUMBER(AD34),AD34,0),AE35/$N33),1)</f>
        <v>0.9999999999999999</v>
      </c>
      <c r="AF34" s="196"/>
      <c r="AK34" s="168">
        <f aca="true" t="shared" si="177" ref="AK34">MIN(IF($B35,AK33+IF(ISNUMBER(AJ34),AJ34,0),AK35/$N33),1)</f>
        <v>0</v>
      </c>
    </row>
    <row r="35" spans="1:37" ht="13.8">
      <c r="A35" s="184">
        <f ca="1">OFFSET(A35,-CFF.NumLinha,0)+1</f>
        <v>6</v>
      </c>
      <c r="B35" s="184" t="b">
        <f ca="1">$C35&gt;=OFFSET($C35,CFF.NumLinha,0)</f>
        <v>1</v>
      </c>
      <c r="C35" s="184">
        <f ca="1">INDEX(PO!A$12:A$174,MATCH($A35,PO!$V$12:$V$174,0))</f>
        <v>2</v>
      </c>
      <c r="D35" s="184">
        <f aca="true" t="shared" si="178" ref="D35">IF(ISERROR(J35),I35,SMALL(I35:J35,1))-1</f>
        <v>2</v>
      </c>
      <c r="E35" s="184">
        <f ca="1">IF($C35=1,OFFSET(E35,-CFF.NumLinha,0)+1,OFFSET(E35,-CFF.NumLinha,0))</f>
        <v>1</v>
      </c>
      <c r="F35" s="184">
        <f ca="1">IF($C35=1,0,IF($C35=2,OFFSET(F35,-CFF.NumLinha,0)+1,OFFSET(F35,-CFF.NumLinha,0)))</f>
        <v>5</v>
      </c>
      <c r="G35" s="184">
        <f ca="1">IF(AND($C35&lt;=2,$C35&lt;&gt;0),0,IF($C35=3,OFFSET(G35,-CFF.NumLinha,0)+1,OFFSET(G35,-CFF.NumLinha,0)))</f>
        <v>0</v>
      </c>
      <c r="H35" s="184">
        <f ca="1">IF(AND($C35&lt;=3,$C35&lt;&gt;0),0,IF($C35=4,OFFSET(H35,-CFF.NumLinha,0)+1,OFFSET(H35,-CFF.NumLinha,0)))</f>
        <v>0</v>
      </c>
      <c r="I35" s="184">
        <f aca="true" ca="1" t="shared" si="179" ref="I35">MATCH(0,OFFSET($D35,1,$C35,ROW($A$81)-ROW($A35)),0)</f>
        <v>46</v>
      </c>
      <c r="J35" s="184">
        <f aca="true" ca="1" t="shared" si="180" ref="J35">MATCH(OFFSET($D35,0,$C35)+1,OFFSET($D35,1,$C35,ROW($A$81)-ROW($A35)),0)</f>
        <v>3</v>
      </c>
      <c r="K35" s="185">
        <f ca="1">ROUND(INDEX(PO!T$12:T$174,MATCH($A35,PO!$V$12:$V$174,0)),2)+10^-12</f>
        <v>63665.66</v>
      </c>
      <c r="L35" s="376"/>
      <c r="M35" s="378"/>
      <c r="N35" s="380"/>
      <c r="O35" s="204" t="s">
        <v>20</v>
      </c>
      <c r="P35" s="199">
        <f aca="true" ca="1" t="shared" si="181" ref="P35:AE35">IF($B35,ROUND(P34*$N33,2),ROUND(SUMIF(OFFSET($B35,1,0,$D35),TRUE,OFFSET(P35,1,0,$D35))/SUMIF(OFFSET($B35,1,0,$D35),TRUE,OFFSET($K35,1,0,$D35))*$N33,2))</f>
        <v>6366.57</v>
      </c>
      <c r="Q35" s="169">
        <f ca="1" t="shared" si="181"/>
        <v>12733.13</v>
      </c>
      <c r="R35" s="169">
        <f ca="1" t="shared" si="181"/>
        <v>19099.7</v>
      </c>
      <c r="S35" s="169">
        <f ca="1" t="shared" si="181"/>
        <v>25466.26</v>
      </c>
      <c r="T35" s="169">
        <f ca="1" t="shared" si="181"/>
        <v>31832.83</v>
      </c>
      <c r="U35" s="169">
        <f ca="1" t="shared" si="181"/>
        <v>38199.4</v>
      </c>
      <c r="V35" s="169">
        <f ca="1" t="shared" si="181"/>
        <v>44565.96</v>
      </c>
      <c r="W35" s="207">
        <f ca="1" t="shared" si="181"/>
        <v>50932.53</v>
      </c>
      <c r="X35" s="199">
        <f ca="1" t="shared" si="181"/>
        <v>57299.09</v>
      </c>
      <c r="Y35" s="169">
        <f ca="1" t="shared" si="181"/>
        <v>63665.66</v>
      </c>
      <c r="Z35" s="169">
        <f ca="1" t="shared" si="181"/>
        <v>63665.66</v>
      </c>
      <c r="AA35" s="169">
        <f ca="1" t="shared" si="181"/>
        <v>63665.66</v>
      </c>
      <c r="AB35" s="169">
        <f ca="1" t="shared" si="181"/>
        <v>63665.66</v>
      </c>
      <c r="AC35" s="169">
        <f ca="1" t="shared" si="181"/>
        <v>63665.66</v>
      </c>
      <c r="AD35" s="169">
        <f ca="1" t="shared" si="181"/>
        <v>63665.66</v>
      </c>
      <c r="AE35" s="207">
        <f ca="1" t="shared" si="181"/>
        <v>63665.66</v>
      </c>
      <c r="AF35" s="196"/>
      <c r="AK35" s="169">
        <f aca="true" ca="1" t="shared" si="182" ref="AK35">IF($B35,ROUND(AK34*$N33,2),ROUND(SUMIF(OFFSET($B35,1,0,$D35),TRUE,OFFSET(AK35,1,0,$D35))/SUMIF(OFFSET($B35,1,0,$D35),TRUE,OFFSET($K35,1,0,$D35))*$N33,2))</f>
        <v>0</v>
      </c>
    </row>
    <row r="36" spans="1:37" ht="14.25" customHeight="1">
      <c r="A36" s="82"/>
      <c r="B36" s="82"/>
      <c r="C36" s="82"/>
      <c r="D36" s="82"/>
      <c r="E36" s="82"/>
      <c r="F36" s="82"/>
      <c r="G36" s="82"/>
      <c r="H36" s="82"/>
      <c r="I36" s="82"/>
      <c r="J36" s="82"/>
      <c r="K36" s="82"/>
      <c r="L36" s="375" t="str">
        <f ca="1">INDEX(PO!K$12:K$174,MATCH($A38,PO!$V$12:$V$174,0))</f>
        <v>1.6.</v>
      </c>
      <c r="M36" s="377" t="str">
        <f ca="1">INDEX(PO!N$12:N$174,MATCH($A38,PO!$V$12:$V$174,0))</f>
        <v>Superestrutura - Alvenaria de Fechamento</v>
      </c>
      <c r="N36" s="379">
        <f aca="true" t="shared" si="183" ref="N36">IF(ROUND(K38,2)=0,K38,ROUND(K38,2))</f>
        <v>499022.95</v>
      </c>
      <c r="O36" s="220" t="s">
        <v>142</v>
      </c>
      <c r="P36" s="225">
        <v>0.1</v>
      </c>
      <c r="Q36" s="226">
        <v>0.1</v>
      </c>
      <c r="R36" s="226">
        <v>0.1</v>
      </c>
      <c r="S36" s="226">
        <v>0.1</v>
      </c>
      <c r="T36" s="226">
        <v>0.1</v>
      </c>
      <c r="U36" s="226">
        <v>0.1</v>
      </c>
      <c r="V36" s="226">
        <v>0.1</v>
      </c>
      <c r="W36" s="227">
        <v>0.1</v>
      </c>
      <c r="X36" s="225">
        <v>0.1</v>
      </c>
      <c r="Y36" s="226">
        <v>0.1</v>
      </c>
      <c r="Z36" s="226">
        <f aca="true" t="shared" si="184" ref="Z36">IF($B38,0,Z37-IF(ISNUMBER(Y37),Y37,0))</f>
        <v>0</v>
      </c>
      <c r="AA36" s="226">
        <f aca="true" t="shared" si="185" ref="AA36">IF($B38,0,AA37-IF(ISNUMBER(Z37),Z37,0))</f>
        <v>0</v>
      </c>
      <c r="AB36" s="226">
        <f aca="true" t="shared" si="186" ref="AB36">IF($B38,0,AB37-IF(ISNUMBER(AA37),AA37,0))</f>
        <v>0</v>
      </c>
      <c r="AC36" s="226">
        <f aca="true" t="shared" si="187" ref="AC36">IF($B38,0,AC37-IF(ISNUMBER(AB37),AB37,0))</f>
        <v>0</v>
      </c>
      <c r="AD36" s="226">
        <f aca="true" t="shared" si="188" ref="AD36">IF($B38,0,AD37-IF(ISNUMBER(AC37),AC37,0))</f>
        <v>0</v>
      </c>
      <c r="AE36" s="227">
        <f aca="true" t="shared" si="189" ref="AE36">IF($B38,0,AE37-IF(ISNUMBER(AD37),AD37,0))</f>
        <v>0</v>
      </c>
      <c r="AF36" s="196"/>
      <c r="AK36" s="221">
        <f aca="true" t="shared" si="190" ref="AK36">IF($B38,0,AK37-IF(ISNUMBER(AJ37),AJ37,0))</f>
        <v>0</v>
      </c>
    </row>
    <row r="37" spans="1:37" ht="13.8">
      <c r="A37" s="184"/>
      <c r="B37" s="184"/>
      <c r="C37" s="184"/>
      <c r="D37" s="184"/>
      <c r="E37" s="184"/>
      <c r="F37" s="184"/>
      <c r="G37" s="184"/>
      <c r="H37" s="184"/>
      <c r="I37" s="184"/>
      <c r="J37" s="184"/>
      <c r="K37" s="184"/>
      <c r="L37" s="376"/>
      <c r="M37" s="378"/>
      <c r="N37" s="380"/>
      <c r="O37" s="170" t="s">
        <v>144</v>
      </c>
      <c r="P37" s="198">
        <f aca="true" t="shared" si="191" ref="P37">MIN(IF($B38,P36+IF(ISNUMBER(O37),O37,0),P38/$N36),1)</f>
        <v>0.1</v>
      </c>
      <c r="Q37" s="168">
        <f aca="true" t="shared" si="192" ref="Q37">MIN(IF($B38,Q36+IF(ISNUMBER(P37),P37,0),Q38/$N36),1)</f>
        <v>0.2</v>
      </c>
      <c r="R37" s="168">
        <f aca="true" t="shared" si="193" ref="R37">MIN(IF($B38,R36+IF(ISNUMBER(Q37),Q37,0),R38/$N36),1)</f>
        <v>0.30000000000000004</v>
      </c>
      <c r="S37" s="168">
        <f aca="true" t="shared" si="194" ref="S37">MIN(IF($B38,S36+IF(ISNUMBER(R37),R37,0),S38/$N36),1)</f>
        <v>0.4</v>
      </c>
      <c r="T37" s="168">
        <f aca="true" t="shared" si="195" ref="T37">MIN(IF($B38,T36+IF(ISNUMBER(S37),S37,0),T38/$N36),1)</f>
        <v>0.5</v>
      </c>
      <c r="U37" s="168">
        <f aca="true" t="shared" si="196" ref="U37">MIN(IF($B38,U36+IF(ISNUMBER(T37),T37,0),U38/$N36),1)</f>
        <v>0.6</v>
      </c>
      <c r="V37" s="168">
        <f aca="true" t="shared" si="197" ref="V37">MIN(IF($B38,V36+IF(ISNUMBER(U37),U37,0),V38/$N36),1)</f>
        <v>0.7</v>
      </c>
      <c r="W37" s="168">
        <f aca="true" t="shared" si="198" ref="W37">MIN(IF($B38,W36+IF(ISNUMBER(V37),V37,0),W38/$N36),1)</f>
        <v>0.7999999999999999</v>
      </c>
      <c r="X37" s="198">
        <f aca="true" t="shared" si="199" ref="X37">MIN(IF($B38,X36+IF(ISNUMBER(W37),W37,0),X38/$N36),1)</f>
        <v>0.8999999999999999</v>
      </c>
      <c r="Y37" s="168">
        <f aca="true" t="shared" si="200" ref="Y37">MIN(IF($B38,Y36+IF(ISNUMBER(X37),X37,0),Y38/$N36),1)</f>
        <v>0.9999999999999999</v>
      </c>
      <c r="Z37" s="168">
        <f aca="true" t="shared" si="201" ref="Z37">MIN(IF($B38,Z36+IF(ISNUMBER(Y37),Y37,0),Z38/$N36),1)</f>
        <v>0.9999999999999999</v>
      </c>
      <c r="AA37" s="168">
        <f aca="true" t="shared" si="202" ref="AA37">MIN(IF($B38,AA36+IF(ISNUMBER(Z37),Z37,0),AA38/$N36),1)</f>
        <v>0.9999999999999999</v>
      </c>
      <c r="AB37" s="168">
        <f aca="true" t="shared" si="203" ref="AB37">MIN(IF($B38,AB36+IF(ISNUMBER(AA37),AA37,0),AB38/$N36),1)</f>
        <v>0.9999999999999999</v>
      </c>
      <c r="AC37" s="168">
        <f aca="true" t="shared" si="204" ref="AC37">MIN(IF($B38,AC36+IF(ISNUMBER(AB37),AB37,0),AC38/$N36),1)</f>
        <v>0.9999999999999999</v>
      </c>
      <c r="AD37" s="168">
        <f aca="true" t="shared" si="205" ref="AD37">MIN(IF($B38,AD36+IF(ISNUMBER(AC37),AC37,0),AD38/$N36),1)</f>
        <v>0.9999999999999999</v>
      </c>
      <c r="AE37" s="168">
        <f aca="true" t="shared" si="206" ref="AE37">MIN(IF($B38,AE36+IF(ISNUMBER(AD37),AD37,0),AE38/$N36),1)</f>
        <v>0.9999999999999999</v>
      </c>
      <c r="AF37" s="196"/>
      <c r="AK37" s="168">
        <f aca="true" t="shared" si="207" ref="AK37">MIN(IF($B38,AK36+IF(ISNUMBER(AJ37),AJ37,0),AK38/$N36),1)</f>
        <v>0</v>
      </c>
    </row>
    <row r="38" spans="1:37" ht="13.8">
      <c r="A38" s="184">
        <f ca="1">OFFSET(A38,-CFF.NumLinha,0)+1</f>
        <v>7</v>
      </c>
      <c r="B38" s="184" t="b">
        <f ca="1">$C38&gt;=OFFSET($C38,CFF.NumLinha,0)</f>
        <v>1</v>
      </c>
      <c r="C38" s="184">
        <f ca="1">INDEX(PO!A$12:A$174,MATCH($A38,PO!$V$12:$V$174,0))</f>
        <v>2</v>
      </c>
      <c r="D38" s="184">
        <f aca="true" t="shared" si="208" ref="D38">IF(ISERROR(J38),I38,SMALL(I38:J38,1))-1</f>
        <v>2</v>
      </c>
      <c r="E38" s="184">
        <f ca="1">IF($C38=1,OFFSET(E38,-CFF.NumLinha,0)+1,OFFSET(E38,-CFF.NumLinha,0))</f>
        <v>1</v>
      </c>
      <c r="F38" s="184">
        <f ca="1">IF($C38=1,0,IF($C38=2,OFFSET(F38,-CFF.NumLinha,0)+1,OFFSET(F38,-CFF.NumLinha,0)))</f>
        <v>6</v>
      </c>
      <c r="G38" s="184">
        <f ca="1">IF(AND($C38&lt;=2,$C38&lt;&gt;0),0,IF($C38=3,OFFSET(G38,-CFF.NumLinha,0)+1,OFFSET(G38,-CFF.NumLinha,0)))</f>
        <v>0</v>
      </c>
      <c r="H38" s="184">
        <f ca="1">IF(AND($C38&lt;=3,$C38&lt;&gt;0),0,IF($C38=4,OFFSET(H38,-CFF.NumLinha,0)+1,OFFSET(H38,-CFF.NumLinha,0)))</f>
        <v>0</v>
      </c>
      <c r="I38" s="184">
        <f aca="true" ca="1" t="shared" si="209" ref="I38">MATCH(0,OFFSET($D38,1,$C38,ROW($A$81)-ROW($A38)),0)</f>
        <v>43</v>
      </c>
      <c r="J38" s="184">
        <f aca="true" ca="1" t="shared" si="210" ref="J38">MATCH(OFFSET($D38,0,$C38)+1,OFFSET($D38,1,$C38,ROW($A$81)-ROW($A38)),0)</f>
        <v>3</v>
      </c>
      <c r="K38" s="185">
        <f ca="1">ROUND(INDEX(PO!T$12:T$174,MATCH($A38,PO!$V$12:$V$174,0)),2)+10^-12</f>
        <v>499022.95</v>
      </c>
      <c r="L38" s="376"/>
      <c r="M38" s="378"/>
      <c r="N38" s="380"/>
      <c r="O38" s="204" t="s">
        <v>20</v>
      </c>
      <c r="P38" s="199">
        <f aca="true" ca="1" t="shared" si="211" ref="P38:W38">IF($B38,ROUND(P37*$N36,2),ROUND(SUMIF(OFFSET($B38,1,0,$D38),TRUE,OFFSET(P38,1,0,$D38))/SUMIF(OFFSET($B38,1,0,$D38),TRUE,OFFSET($K38,1,0,$D38))*$N36,2))</f>
        <v>49902.3</v>
      </c>
      <c r="Q38" s="169">
        <f ca="1" t="shared" si="211"/>
        <v>99804.59</v>
      </c>
      <c r="R38" s="169">
        <f ca="1" t="shared" si="211"/>
        <v>149706.89</v>
      </c>
      <c r="S38" s="169">
        <f ca="1" t="shared" si="211"/>
        <v>199609.18</v>
      </c>
      <c r="T38" s="169">
        <f ca="1" t="shared" si="211"/>
        <v>249511.48</v>
      </c>
      <c r="U38" s="169">
        <f ca="1" t="shared" si="211"/>
        <v>299413.77</v>
      </c>
      <c r="V38" s="169">
        <f ca="1" t="shared" si="211"/>
        <v>349316.07</v>
      </c>
      <c r="W38" s="207">
        <f ca="1" t="shared" si="211"/>
        <v>399218.36</v>
      </c>
      <c r="X38" s="199">
        <f aca="true" ca="1" t="shared" si="212" ref="X38">IF($B38,ROUND(X37*$N36,2),ROUND(SUMIF(OFFSET($B38,1,0,$D38),TRUE,OFFSET(X38,1,0,$D38))/SUMIF(OFFSET($B38,1,0,$D38),TRUE,OFFSET($K38,1,0,$D38))*$N36,2))</f>
        <v>449120.66</v>
      </c>
      <c r="Y38" s="169">
        <f aca="true" ca="1" t="shared" si="213" ref="Y38">IF($B38,ROUND(Y37*$N36,2),ROUND(SUMIF(OFFSET($B38,1,0,$D38),TRUE,OFFSET(Y38,1,0,$D38))/SUMIF(OFFSET($B38,1,0,$D38),TRUE,OFFSET($K38,1,0,$D38))*$N36,2))</f>
        <v>499022.95</v>
      </c>
      <c r="Z38" s="169">
        <f aca="true" ca="1" t="shared" si="214" ref="Z38">IF($B38,ROUND(Z37*$N36,2),ROUND(SUMIF(OFFSET($B38,1,0,$D38),TRUE,OFFSET(Z38,1,0,$D38))/SUMIF(OFFSET($B38,1,0,$D38),TRUE,OFFSET($K38,1,0,$D38))*$N36,2))</f>
        <v>499022.95</v>
      </c>
      <c r="AA38" s="169">
        <f aca="true" ca="1" t="shared" si="215" ref="AA38">IF($B38,ROUND(AA37*$N36,2),ROUND(SUMIF(OFFSET($B38,1,0,$D38),TRUE,OFFSET(AA38,1,0,$D38))/SUMIF(OFFSET($B38,1,0,$D38),TRUE,OFFSET($K38,1,0,$D38))*$N36,2))</f>
        <v>499022.95</v>
      </c>
      <c r="AB38" s="169">
        <f aca="true" ca="1" t="shared" si="216" ref="AB38">IF($B38,ROUND(AB37*$N36,2),ROUND(SUMIF(OFFSET($B38,1,0,$D38),TRUE,OFFSET(AB38,1,0,$D38))/SUMIF(OFFSET($B38,1,0,$D38),TRUE,OFFSET($K38,1,0,$D38))*$N36,2))</f>
        <v>499022.95</v>
      </c>
      <c r="AC38" s="169">
        <f aca="true" ca="1" t="shared" si="217" ref="AC38">IF($B38,ROUND(AC37*$N36,2),ROUND(SUMIF(OFFSET($B38,1,0,$D38),TRUE,OFFSET(AC38,1,0,$D38))/SUMIF(OFFSET($B38,1,0,$D38),TRUE,OFFSET($K38,1,0,$D38))*$N36,2))</f>
        <v>499022.95</v>
      </c>
      <c r="AD38" s="169">
        <f aca="true" ca="1" t="shared" si="218" ref="AD38">IF($B38,ROUND(AD37*$N36,2),ROUND(SUMIF(OFFSET($B38,1,0,$D38),TRUE,OFFSET(AD38,1,0,$D38))/SUMIF(OFFSET($B38,1,0,$D38),TRUE,OFFSET($K38,1,0,$D38))*$N36,2))</f>
        <v>499022.95</v>
      </c>
      <c r="AE38" s="207">
        <f aca="true" ca="1" t="shared" si="219" ref="AE38">IF($B38,ROUND(AE37*$N36,2),ROUND(SUMIF(OFFSET($B38,1,0,$D38),TRUE,OFFSET(AE38,1,0,$D38))/SUMIF(OFFSET($B38,1,0,$D38),TRUE,OFFSET($K38,1,0,$D38))*$N36,2))</f>
        <v>499022.95</v>
      </c>
      <c r="AF38" s="196"/>
      <c r="AK38" s="169">
        <f aca="true" ca="1" t="shared" si="220" ref="AK38">IF($B38,ROUND(AK37*$N36,2),ROUND(SUMIF(OFFSET($B38,1,0,$D38),TRUE,OFFSET(AK38,1,0,$D38))/SUMIF(OFFSET($B38,1,0,$D38),TRUE,OFFSET($K38,1,0,$D38))*$N36,2))</f>
        <v>0</v>
      </c>
    </row>
    <row r="39" spans="1:37" ht="14.25" customHeight="1">
      <c r="A39" s="82"/>
      <c r="B39" s="82"/>
      <c r="C39" s="82"/>
      <c r="D39" s="82"/>
      <c r="E39" s="82"/>
      <c r="F39" s="82"/>
      <c r="G39" s="82"/>
      <c r="H39" s="82"/>
      <c r="I39" s="82"/>
      <c r="J39" s="82"/>
      <c r="K39" s="82"/>
      <c r="L39" s="375" t="str">
        <f ca="1">INDEX(PO!K$12:K$174,MATCH($A41,PO!$V$12:$V$174,0))</f>
        <v>1.7.</v>
      </c>
      <c r="M39" s="377" t="str">
        <f ca="1">INDEX(PO!N$12:N$174,MATCH($A41,PO!$V$12:$V$174,0))</f>
        <v xml:space="preserve">Superestrutura - Vigas Superiores e de Amarração </v>
      </c>
      <c r="N39" s="379">
        <f aca="true" t="shared" si="221" ref="N39">IF(ROUND(K41,2)=0,K41,ROUND(K41,2))</f>
        <v>159642.32</v>
      </c>
      <c r="O39" s="220" t="s">
        <v>142</v>
      </c>
      <c r="P39" s="225">
        <v>0.1</v>
      </c>
      <c r="Q39" s="226">
        <v>0.1</v>
      </c>
      <c r="R39" s="226">
        <v>0.1</v>
      </c>
      <c r="S39" s="226">
        <v>0.1</v>
      </c>
      <c r="T39" s="226">
        <v>0.1</v>
      </c>
      <c r="U39" s="226">
        <v>0.1</v>
      </c>
      <c r="V39" s="226">
        <v>0.1</v>
      </c>
      <c r="W39" s="227">
        <v>0.1</v>
      </c>
      <c r="X39" s="225">
        <v>0.1</v>
      </c>
      <c r="Y39" s="226">
        <v>0.1</v>
      </c>
      <c r="Z39" s="226">
        <f aca="true" t="shared" si="222" ref="Z39">IF($B41,0,Z40-IF(ISNUMBER(Y40),Y40,0))</f>
        <v>0</v>
      </c>
      <c r="AA39" s="226">
        <f aca="true" t="shared" si="223" ref="AA39">IF($B41,0,AA40-IF(ISNUMBER(Z40),Z40,0))</f>
        <v>0</v>
      </c>
      <c r="AB39" s="226">
        <f aca="true" t="shared" si="224" ref="AB39">IF($B41,0,AB40-IF(ISNUMBER(AA40),AA40,0))</f>
        <v>0</v>
      </c>
      <c r="AC39" s="226">
        <f aca="true" t="shared" si="225" ref="AC39">IF($B41,0,AC40-IF(ISNUMBER(AB40),AB40,0))</f>
        <v>0</v>
      </c>
      <c r="AD39" s="226">
        <f aca="true" t="shared" si="226" ref="AD39">IF($B41,0,AD40-IF(ISNUMBER(AC40),AC40,0))</f>
        <v>0</v>
      </c>
      <c r="AE39" s="227">
        <f aca="true" t="shared" si="227" ref="AE39">IF($B41,0,AE40-IF(ISNUMBER(AD40),AD40,0))</f>
        <v>0</v>
      </c>
      <c r="AF39" s="196"/>
      <c r="AK39" s="221">
        <f aca="true" t="shared" si="228" ref="AK39">IF($B41,0,AK40-IF(ISNUMBER(AJ40),AJ40,0))</f>
        <v>0</v>
      </c>
    </row>
    <row r="40" spans="1:37" ht="13.8">
      <c r="A40" s="184"/>
      <c r="B40" s="184"/>
      <c r="C40" s="184"/>
      <c r="D40" s="184"/>
      <c r="E40" s="184"/>
      <c r="F40" s="184"/>
      <c r="G40" s="184"/>
      <c r="H40" s="184"/>
      <c r="I40" s="184"/>
      <c r="J40" s="184"/>
      <c r="K40" s="184"/>
      <c r="L40" s="376"/>
      <c r="M40" s="378"/>
      <c r="N40" s="380"/>
      <c r="O40" s="170" t="s">
        <v>144</v>
      </c>
      <c r="P40" s="198">
        <f aca="true" t="shared" si="229" ref="P40">MIN(IF($B41,P39+IF(ISNUMBER(O40),O40,0),P41/$N39),1)</f>
        <v>0.1</v>
      </c>
      <c r="Q40" s="168">
        <f aca="true" t="shared" si="230" ref="Q40">MIN(IF($B41,Q39+IF(ISNUMBER(P40),P40,0),Q41/$N39),1)</f>
        <v>0.2</v>
      </c>
      <c r="R40" s="168">
        <f aca="true" t="shared" si="231" ref="R40">MIN(IF($B41,R39+IF(ISNUMBER(Q40),Q40,0),R41/$N39),1)</f>
        <v>0.30000000000000004</v>
      </c>
      <c r="S40" s="168">
        <f aca="true" t="shared" si="232" ref="S40">MIN(IF($B41,S39+IF(ISNUMBER(R40),R40,0),S41/$N39),1)</f>
        <v>0.4</v>
      </c>
      <c r="T40" s="168">
        <f aca="true" t="shared" si="233" ref="T40">MIN(IF($B41,T39+IF(ISNUMBER(S40),S40,0),T41/$N39),1)</f>
        <v>0.5</v>
      </c>
      <c r="U40" s="168">
        <f aca="true" t="shared" si="234" ref="U40">MIN(IF($B41,U39+IF(ISNUMBER(T40),T40,0),U41/$N39),1)</f>
        <v>0.6</v>
      </c>
      <c r="V40" s="168">
        <f aca="true" t="shared" si="235" ref="V40">MIN(IF($B41,V39+IF(ISNUMBER(U40),U40,0),V41/$N39),1)</f>
        <v>0.7</v>
      </c>
      <c r="W40" s="168">
        <f aca="true" t="shared" si="236" ref="W40">MIN(IF($B41,W39+IF(ISNUMBER(V40),V40,0),W41/$N39),1)</f>
        <v>0.7999999999999999</v>
      </c>
      <c r="X40" s="198">
        <f aca="true" t="shared" si="237" ref="X40">MIN(IF($B41,X39+IF(ISNUMBER(W40),W40,0),X41/$N39),1)</f>
        <v>0.8999999999999999</v>
      </c>
      <c r="Y40" s="168">
        <f aca="true" t="shared" si="238" ref="Y40">MIN(IF($B41,Y39+IF(ISNUMBER(X40),X40,0),Y41/$N39),1)</f>
        <v>0.9999999999999999</v>
      </c>
      <c r="Z40" s="168">
        <f aca="true" t="shared" si="239" ref="Z40">MIN(IF($B41,Z39+IF(ISNUMBER(Y40),Y40,0),Z41/$N39),1)</f>
        <v>0.9999999999999999</v>
      </c>
      <c r="AA40" s="168">
        <f aca="true" t="shared" si="240" ref="AA40">MIN(IF($B41,AA39+IF(ISNUMBER(Z40),Z40,0),AA41/$N39),1)</f>
        <v>0.9999999999999999</v>
      </c>
      <c r="AB40" s="168">
        <f aca="true" t="shared" si="241" ref="AB40">MIN(IF($B41,AB39+IF(ISNUMBER(AA40),AA40,0),AB41/$N39),1)</f>
        <v>0.9999999999999999</v>
      </c>
      <c r="AC40" s="168">
        <f aca="true" t="shared" si="242" ref="AC40">MIN(IF($B41,AC39+IF(ISNUMBER(AB40),AB40,0),AC41/$N39),1)</f>
        <v>0.9999999999999999</v>
      </c>
      <c r="AD40" s="168">
        <f aca="true" t="shared" si="243" ref="AD40">MIN(IF($B41,AD39+IF(ISNUMBER(AC40),AC40,0),AD41/$N39),1)</f>
        <v>0.9999999999999999</v>
      </c>
      <c r="AE40" s="168">
        <f aca="true" t="shared" si="244" ref="AE40">MIN(IF($B41,AE39+IF(ISNUMBER(AD40),AD40,0),AE41/$N39),1)</f>
        <v>0.9999999999999999</v>
      </c>
      <c r="AF40" s="196"/>
      <c r="AK40" s="168">
        <f aca="true" t="shared" si="245" ref="AK40">MIN(IF($B41,AK39+IF(ISNUMBER(AJ40),AJ40,0),AK41/$N39),1)</f>
        <v>0</v>
      </c>
    </row>
    <row r="41" spans="1:37" ht="13.8">
      <c r="A41" s="184">
        <f ca="1">OFFSET(A41,-CFF.NumLinha,0)+1</f>
        <v>8</v>
      </c>
      <c r="B41" s="184" t="b">
        <f ca="1">$C41&gt;=OFFSET($C41,CFF.NumLinha,0)</f>
        <v>1</v>
      </c>
      <c r="C41" s="184">
        <f ca="1">INDEX(PO!A$12:A$174,MATCH($A41,PO!$V$12:$V$174,0))</f>
        <v>2</v>
      </c>
      <c r="D41" s="184">
        <f aca="true" t="shared" si="246" ref="D41">IF(ISERROR(J41),I41,SMALL(I41:J41,1))-1</f>
        <v>2</v>
      </c>
      <c r="E41" s="184">
        <f ca="1">IF($C41=1,OFFSET(E41,-CFF.NumLinha,0)+1,OFFSET(E41,-CFF.NumLinha,0))</f>
        <v>1</v>
      </c>
      <c r="F41" s="184">
        <f ca="1">IF($C41=1,0,IF($C41=2,OFFSET(F41,-CFF.NumLinha,0)+1,OFFSET(F41,-CFF.NumLinha,0)))</f>
        <v>7</v>
      </c>
      <c r="G41" s="184">
        <f ca="1">IF(AND($C41&lt;=2,$C41&lt;&gt;0),0,IF($C41=3,OFFSET(G41,-CFF.NumLinha,0)+1,OFFSET(G41,-CFF.NumLinha,0)))</f>
        <v>0</v>
      </c>
      <c r="H41" s="184">
        <f ca="1">IF(AND($C41&lt;=3,$C41&lt;&gt;0),0,IF($C41=4,OFFSET(H41,-CFF.NumLinha,0)+1,OFFSET(H41,-CFF.NumLinha,0)))</f>
        <v>0</v>
      </c>
      <c r="I41" s="184">
        <f aca="true" ca="1" t="shared" si="247" ref="I41">MATCH(0,OFFSET($D41,1,$C41,ROW($A$81)-ROW($A41)),0)</f>
        <v>40</v>
      </c>
      <c r="J41" s="184">
        <f aca="true" ca="1" t="shared" si="248" ref="J41">MATCH(OFFSET($D41,0,$C41)+1,OFFSET($D41,1,$C41,ROW($A$81)-ROW($A41)),0)</f>
        <v>3</v>
      </c>
      <c r="K41" s="185">
        <f ca="1">ROUND(INDEX(PO!T$12:T$174,MATCH($A41,PO!$V$12:$V$174,0)),2)+10^-12</f>
        <v>159642.32</v>
      </c>
      <c r="L41" s="376"/>
      <c r="M41" s="378"/>
      <c r="N41" s="380"/>
      <c r="O41" s="204" t="s">
        <v>20</v>
      </c>
      <c r="P41" s="199">
        <f aca="true" ca="1" t="shared" si="249" ref="P41:W41">IF($B41,ROUND(P40*$N39,2),ROUND(SUMIF(OFFSET($B41,1,0,$D41),TRUE,OFFSET(P41,1,0,$D41))/SUMIF(OFFSET($B41,1,0,$D41),TRUE,OFFSET($K41,1,0,$D41))*$N39,2))</f>
        <v>15964.23</v>
      </c>
      <c r="Q41" s="169">
        <f ca="1" t="shared" si="249"/>
        <v>31928.46</v>
      </c>
      <c r="R41" s="169">
        <f ca="1" t="shared" si="249"/>
        <v>47892.7</v>
      </c>
      <c r="S41" s="169">
        <f ca="1" t="shared" si="249"/>
        <v>63856.93</v>
      </c>
      <c r="T41" s="169">
        <f ca="1" t="shared" si="249"/>
        <v>79821.16</v>
      </c>
      <c r="U41" s="169">
        <f ca="1" t="shared" si="249"/>
        <v>95785.39</v>
      </c>
      <c r="V41" s="169">
        <f ca="1" t="shared" si="249"/>
        <v>111749.62</v>
      </c>
      <c r="W41" s="207">
        <f ca="1" t="shared" si="249"/>
        <v>127713.86</v>
      </c>
      <c r="X41" s="199">
        <f aca="true" ca="1" t="shared" si="250" ref="X41">IF($B41,ROUND(X40*$N39,2),ROUND(SUMIF(OFFSET($B41,1,0,$D41),TRUE,OFFSET(X41,1,0,$D41))/SUMIF(OFFSET($B41,1,0,$D41),TRUE,OFFSET($K41,1,0,$D41))*$N39,2))</f>
        <v>143678.09</v>
      </c>
      <c r="Y41" s="169">
        <f aca="true" ca="1" t="shared" si="251" ref="Y41">IF($B41,ROUND(Y40*$N39,2),ROUND(SUMIF(OFFSET($B41,1,0,$D41),TRUE,OFFSET(Y41,1,0,$D41))/SUMIF(OFFSET($B41,1,0,$D41),TRUE,OFFSET($K41,1,0,$D41))*$N39,2))</f>
        <v>159642.32</v>
      </c>
      <c r="Z41" s="169">
        <f aca="true" ca="1" t="shared" si="252" ref="Z41">IF($B41,ROUND(Z40*$N39,2),ROUND(SUMIF(OFFSET($B41,1,0,$D41),TRUE,OFFSET(Z41,1,0,$D41))/SUMIF(OFFSET($B41,1,0,$D41),TRUE,OFFSET($K41,1,0,$D41))*$N39,2))</f>
        <v>159642.32</v>
      </c>
      <c r="AA41" s="169">
        <f aca="true" ca="1" t="shared" si="253" ref="AA41">IF($B41,ROUND(AA40*$N39,2),ROUND(SUMIF(OFFSET($B41,1,0,$D41),TRUE,OFFSET(AA41,1,0,$D41))/SUMIF(OFFSET($B41,1,0,$D41),TRUE,OFFSET($K41,1,0,$D41))*$N39,2))</f>
        <v>159642.32</v>
      </c>
      <c r="AB41" s="169">
        <f aca="true" ca="1" t="shared" si="254" ref="AB41">IF($B41,ROUND(AB40*$N39,2),ROUND(SUMIF(OFFSET($B41,1,0,$D41),TRUE,OFFSET(AB41,1,0,$D41))/SUMIF(OFFSET($B41,1,0,$D41),TRUE,OFFSET($K41,1,0,$D41))*$N39,2))</f>
        <v>159642.32</v>
      </c>
      <c r="AC41" s="169">
        <f aca="true" ca="1" t="shared" si="255" ref="AC41">IF($B41,ROUND(AC40*$N39,2),ROUND(SUMIF(OFFSET($B41,1,0,$D41),TRUE,OFFSET(AC41,1,0,$D41))/SUMIF(OFFSET($B41,1,0,$D41),TRUE,OFFSET($K41,1,0,$D41))*$N39,2))</f>
        <v>159642.32</v>
      </c>
      <c r="AD41" s="169">
        <f aca="true" ca="1" t="shared" si="256" ref="AD41">IF($B41,ROUND(AD40*$N39,2),ROUND(SUMIF(OFFSET($B41,1,0,$D41),TRUE,OFFSET(AD41,1,0,$D41))/SUMIF(OFFSET($B41,1,0,$D41),TRUE,OFFSET($K41,1,0,$D41))*$N39,2))</f>
        <v>159642.32</v>
      </c>
      <c r="AE41" s="207">
        <f aca="true" ca="1" t="shared" si="257" ref="AE41">IF($B41,ROUND(AE40*$N39,2),ROUND(SUMIF(OFFSET($B41,1,0,$D41),TRUE,OFFSET(AE41,1,0,$D41))/SUMIF(OFFSET($B41,1,0,$D41),TRUE,OFFSET($K41,1,0,$D41))*$N39,2))</f>
        <v>159642.32</v>
      </c>
      <c r="AF41" s="196"/>
      <c r="AK41" s="169">
        <f aca="true" ca="1" t="shared" si="258" ref="AK41">IF($B41,ROUND(AK40*$N39,2),ROUND(SUMIF(OFFSET($B41,1,0,$D41),TRUE,OFFSET(AK41,1,0,$D41))/SUMIF(OFFSET($B41,1,0,$D41),TRUE,OFFSET($K41,1,0,$D41))*$N39,2))</f>
        <v>0</v>
      </c>
    </row>
    <row r="42" spans="1:37" ht="14.25" customHeight="1">
      <c r="A42" s="82"/>
      <c r="B42" s="82"/>
      <c r="C42" s="82"/>
      <c r="D42" s="82"/>
      <c r="E42" s="82"/>
      <c r="F42" s="82"/>
      <c r="G42" s="82"/>
      <c r="H42" s="82"/>
      <c r="I42" s="82"/>
      <c r="J42" s="82"/>
      <c r="K42" s="82"/>
      <c r="L42" s="375" t="str">
        <f ca="1">INDEX(PO!K$12:K$174,MATCH($A44,PO!$V$12:$V$174,0))</f>
        <v>1.8.</v>
      </c>
      <c r="M42" s="377" t="str">
        <f ca="1">INDEX(PO!N$12:N$174,MATCH($A44,PO!$V$12:$V$174,0))</f>
        <v>Superestrutura - Lajes</v>
      </c>
      <c r="N42" s="379">
        <f aca="true" t="shared" si="259" ref="N42">IF(ROUND(K44,2)=0,K44,ROUND(K44,2))</f>
        <v>45060.06</v>
      </c>
      <c r="O42" s="220" t="s">
        <v>142</v>
      </c>
      <c r="P42" s="225">
        <v>0.1</v>
      </c>
      <c r="Q42" s="226">
        <v>0.1</v>
      </c>
      <c r="R42" s="226">
        <v>0.1</v>
      </c>
      <c r="S42" s="226">
        <v>0.1</v>
      </c>
      <c r="T42" s="226">
        <v>0.1</v>
      </c>
      <c r="U42" s="226">
        <v>0.1</v>
      </c>
      <c r="V42" s="226">
        <v>0.1</v>
      </c>
      <c r="W42" s="227">
        <v>0.1</v>
      </c>
      <c r="X42" s="225">
        <v>0.1</v>
      </c>
      <c r="Y42" s="226">
        <v>0.1</v>
      </c>
      <c r="Z42" s="226">
        <f aca="true" t="shared" si="260" ref="Z42">IF($B44,0,Z43-IF(ISNUMBER(Y43),Y43,0))</f>
        <v>0</v>
      </c>
      <c r="AA42" s="226">
        <f aca="true" t="shared" si="261" ref="AA42">IF($B44,0,AA43-IF(ISNUMBER(Z43),Z43,0))</f>
        <v>0</v>
      </c>
      <c r="AB42" s="226">
        <f aca="true" t="shared" si="262" ref="AB42">IF($B44,0,AB43-IF(ISNUMBER(AA43),AA43,0))</f>
        <v>0</v>
      </c>
      <c r="AC42" s="226">
        <f aca="true" t="shared" si="263" ref="AC42">IF($B44,0,AC43-IF(ISNUMBER(AB43),AB43,0))</f>
        <v>0</v>
      </c>
      <c r="AD42" s="226">
        <f aca="true" t="shared" si="264" ref="AD42">IF($B44,0,AD43-IF(ISNUMBER(AC43),AC43,0))</f>
        <v>0</v>
      </c>
      <c r="AE42" s="227">
        <f aca="true" t="shared" si="265" ref="AE42">IF($B44,0,AE43-IF(ISNUMBER(AD43),AD43,0))</f>
        <v>0</v>
      </c>
      <c r="AF42" s="196"/>
      <c r="AK42" s="221">
        <f aca="true" t="shared" si="266" ref="AK42">IF($B44,0,AK43-IF(ISNUMBER(AJ43),AJ43,0))</f>
        <v>0</v>
      </c>
    </row>
    <row r="43" spans="1:37" ht="13.8">
      <c r="A43" s="184"/>
      <c r="B43" s="184"/>
      <c r="C43" s="184"/>
      <c r="D43" s="184"/>
      <c r="E43" s="184"/>
      <c r="F43" s="184"/>
      <c r="G43" s="184"/>
      <c r="H43" s="184"/>
      <c r="I43" s="184"/>
      <c r="J43" s="184"/>
      <c r="K43" s="184"/>
      <c r="L43" s="376"/>
      <c r="M43" s="378"/>
      <c r="N43" s="380"/>
      <c r="O43" s="170" t="s">
        <v>144</v>
      </c>
      <c r="P43" s="198">
        <f aca="true" t="shared" si="267" ref="P43">MIN(IF($B44,P42+IF(ISNUMBER(O43),O43,0),P44/$N42),1)</f>
        <v>0.1</v>
      </c>
      <c r="Q43" s="168">
        <f aca="true" t="shared" si="268" ref="Q43">MIN(IF($B44,Q42+IF(ISNUMBER(P43),P43,0),Q44/$N42),1)</f>
        <v>0.2</v>
      </c>
      <c r="R43" s="168">
        <f aca="true" t="shared" si="269" ref="R43">MIN(IF($B44,R42+IF(ISNUMBER(Q43),Q43,0),R44/$N42),1)</f>
        <v>0.30000000000000004</v>
      </c>
      <c r="S43" s="168">
        <f aca="true" t="shared" si="270" ref="S43">MIN(IF($B44,S42+IF(ISNUMBER(R43),R43,0),S44/$N42),1)</f>
        <v>0.4</v>
      </c>
      <c r="T43" s="168">
        <f aca="true" t="shared" si="271" ref="T43">MIN(IF($B44,T42+IF(ISNUMBER(S43),S43,0),T44/$N42),1)</f>
        <v>0.5</v>
      </c>
      <c r="U43" s="168">
        <f aca="true" t="shared" si="272" ref="U43">MIN(IF($B44,U42+IF(ISNUMBER(T43),T43,0),U44/$N42),1)</f>
        <v>0.6</v>
      </c>
      <c r="V43" s="168">
        <f aca="true" t="shared" si="273" ref="V43">MIN(IF($B44,V42+IF(ISNUMBER(U43),U43,0),V44/$N42),1)</f>
        <v>0.7</v>
      </c>
      <c r="W43" s="168">
        <f aca="true" t="shared" si="274" ref="W43">MIN(IF($B44,W42+IF(ISNUMBER(V43),V43,0),W44/$N42),1)</f>
        <v>0.7999999999999999</v>
      </c>
      <c r="X43" s="198">
        <f aca="true" t="shared" si="275" ref="X43">MIN(IF($B44,X42+IF(ISNUMBER(W43),W43,0),X44/$N42),1)</f>
        <v>0.8999999999999999</v>
      </c>
      <c r="Y43" s="168">
        <f aca="true" t="shared" si="276" ref="Y43">MIN(IF($B44,Y42+IF(ISNUMBER(X43),X43,0),Y44/$N42),1)</f>
        <v>0.9999999999999999</v>
      </c>
      <c r="Z43" s="168">
        <f aca="true" t="shared" si="277" ref="Z43">MIN(IF($B44,Z42+IF(ISNUMBER(Y43),Y43,0),Z44/$N42),1)</f>
        <v>0.9999999999999999</v>
      </c>
      <c r="AA43" s="168">
        <f aca="true" t="shared" si="278" ref="AA43">MIN(IF($B44,AA42+IF(ISNUMBER(Z43),Z43,0),AA44/$N42),1)</f>
        <v>0.9999999999999999</v>
      </c>
      <c r="AB43" s="168">
        <f aca="true" t="shared" si="279" ref="AB43">MIN(IF($B44,AB42+IF(ISNUMBER(AA43),AA43,0),AB44/$N42),1)</f>
        <v>0.9999999999999999</v>
      </c>
      <c r="AC43" s="168">
        <f aca="true" t="shared" si="280" ref="AC43">MIN(IF($B44,AC42+IF(ISNUMBER(AB43),AB43,0),AC44/$N42),1)</f>
        <v>0.9999999999999999</v>
      </c>
      <c r="AD43" s="168">
        <f aca="true" t="shared" si="281" ref="AD43">MIN(IF($B44,AD42+IF(ISNUMBER(AC43),AC43,0),AD44/$N42),1)</f>
        <v>0.9999999999999999</v>
      </c>
      <c r="AE43" s="168">
        <f aca="true" t="shared" si="282" ref="AE43">MIN(IF($B44,AE42+IF(ISNUMBER(AD43),AD43,0),AE44/$N42),1)</f>
        <v>0.9999999999999999</v>
      </c>
      <c r="AF43" s="196"/>
      <c r="AK43" s="168">
        <f aca="true" t="shared" si="283" ref="AK43">MIN(IF($B44,AK42+IF(ISNUMBER(AJ43),AJ43,0),AK44/$N42),1)</f>
        <v>0</v>
      </c>
    </row>
    <row r="44" spans="1:37" ht="13.8">
      <c r="A44" s="184">
        <f ca="1">OFFSET(A44,-CFF.NumLinha,0)+1</f>
        <v>9</v>
      </c>
      <c r="B44" s="184" t="b">
        <f ca="1">$C44&gt;=OFFSET($C44,CFF.NumLinha,0)</f>
        <v>1</v>
      </c>
      <c r="C44" s="184">
        <f ca="1">INDEX(PO!A$12:A$174,MATCH($A44,PO!$V$12:$V$174,0))</f>
        <v>2</v>
      </c>
      <c r="D44" s="184">
        <f aca="true" t="shared" si="284" ref="D44">IF(ISERROR(J44),I44,SMALL(I44:J44,1))-1</f>
        <v>2</v>
      </c>
      <c r="E44" s="184">
        <f ca="1">IF($C44=1,OFFSET(E44,-CFF.NumLinha,0)+1,OFFSET(E44,-CFF.NumLinha,0))</f>
        <v>1</v>
      </c>
      <c r="F44" s="184">
        <f ca="1">IF($C44=1,0,IF($C44=2,OFFSET(F44,-CFF.NumLinha,0)+1,OFFSET(F44,-CFF.NumLinha,0)))</f>
        <v>8</v>
      </c>
      <c r="G44" s="184">
        <f ca="1">IF(AND($C44&lt;=2,$C44&lt;&gt;0),0,IF($C44=3,OFFSET(G44,-CFF.NumLinha,0)+1,OFFSET(G44,-CFF.NumLinha,0)))</f>
        <v>0</v>
      </c>
      <c r="H44" s="184">
        <f ca="1">IF(AND($C44&lt;=3,$C44&lt;&gt;0),0,IF($C44=4,OFFSET(H44,-CFF.NumLinha,0)+1,OFFSET(H44,-CFF.NumLinha,0)))</f>
        <v>0</v>
      </c>
      <c r="I44" s="184">
        <f aca="true" ca="1" t="shared" si="285" ref="I44">MATCH(0,OFFSET($D44,1,$C44,ROW($A$81)-ROW($A44)),0)</f>
        <v>37</v>
      </c>
      <c r="J44" s="184">
        <f aca="true" ca="1" t="shared" si="286" ref="J44">MATCH(OFFSET($D44,0,$C44)+1,OFFSET($D44,1,$C44,ROW($A$81)-ROW($A44)),0)</f>
        <v>3</v>
      </c>
      <c r="K44" s="185">
        <f ca="1">ROUND(INDEX(PO!T$12:T$174,MATCH($A44,PO!$V$12:$V$174,0)),2)+10^-12</f>
        <v>45060.06</v>
      </c>
      <c r="L44" s="376"/>
      <c r="M44" s="378"/>
      <c r="N44" s="380"/>
      <c r="O44" s="204" t="s">
        <v>20</v>
      </c>
      <c r="P44" s="199">
        <f aca="true" ca="1" t="shared" si="287" ref="P44:W44">IF($B44,ROUND(P43*$N42,2),ROUND(SUMIF(OFFSET($B44,1,0,$D44),TRUE,OFFSET(P44,1,0,$D44))/SUMIF(OFFSET($B44,1,0,$D44),TRUE,OFFSET($K44,1,0,$D44))*$N42,2))</f>
        <v>4506.01</v>
      </c>
      <c r="Q44" s="169">
        <f ca="1" t="shared" si="287"/>
        <v>9012.01</v>
      </c>
      <c r="R44" s="169">
        <f ca="1" t="shared" si="287"/>
        <v>13518.02</v>
      </c>
      <c r="S44" s="169">
        <f ca="1" t="shared" si="287"/>
        <v>18024.02</v>
      </c>
      <c r="T44" s="169">
        <f ca="1" t="shared" si="287"/>
        <v>22530.03</v>
      </c>
      <c r="U44" s="169">
        <f ca="1" t="shared" si="287"/>
        <v>27036.04</v>
      </c>
      <c r="V44" s="169">
        <f ca="1" t="shared" si="287"/>
        <v>31542.04</v>
      </c>
      <c r="W44" s="207">
        <f ca="1" t="shared" si="287"/>
        <v>36048.05</v>
      </c>
      <c r="X44" s="199">
        <f aca="true" ca="1" t="shared" si="288" ref="X44">IF($B44,ROUND(X43*$N42,2),ROUND(SUMIF(OFFSET($B44,1,0,$D44),TRUE,OFFSET(X44,1,0,$D44))/SUMIF(OFFSET($B44,1,0,$D44),TRUE,OFFSET($K44,1,0,$D44))*$N42,2))</f>
        <v>40554.05</v>
      </c>
      <c r="Y44" s="169">
        <f aca="true" ca="1" t="shared" si="289" ref="Y44">IF($B44,ROUND(Y43*$N42,2),ROUND(SUMIF(OFFSET($B44,1,0,$D44),TRUE,OFFSET(Y44,1,0,$D44))/SUMIF(OFFSET($B44,1,0,$D44),TRUE,OFFSET($K44,1,0,$D44))*$N42,2))</f>
        <v>45060.06</v>
      </c>
      <c r="Z44" s="169">
        <f aca="true" ca="1" t="shared" si="290" ref="Z44">IF($B44,ROUND(Z43*$N42,2),ROUND(SUMIF(OFFSET($B44,1,0,$D44),TRUE,OFFSET(Z44,1,0,$D44))/SUMIF(OFFSET($B44,1,0,$D44),TRUE,OFFSET($K44,1,0,$D44))*$N42,2))</f>
        <v>45060.06</v>
      </c>
      <c r="AA44" s="169">
        <f aca="true" ca="1" t="shared" si="291" ref="AA44">IF($B44,ROUND(AA43*$N42,2),ROUND(SUMIF(OFFSET($B44,1,0,$D44),TRUE,OFFSET(AA44,1,0,$D44))/SUMIF(OFFSET($B44,1,0,$D44),TRUE,OFFSET($K44,1,0,$D44))*$N42,2))</f>
        <v>45060.06</v>
      </c>
      <c r="AB44" s="169">
        <f aca="true" ca="1" t="shared" si="292" ref="AB44">IF($B44,ROUND(AB43*$N42,2),ROUND(SUMIF(OFFSET($B44,1,0,$D44),TRUE,OFFSET(AB44,1,0,$D44))/SUMIF(OFFSET($B44,1,0,$D44),TRUE,OFFSET($K44,1,0,$D44))*$N42,2))</f>
        <v>45060.06</v>
      </c>
      <c r="AC44" s="169">
        <f aca="true" ca="1" t="shared" si="293" ref="AC44">IF($B44,ROUND(AC43*$N42,2),ROUND(SUMIF(OFFSET($B44,1,0,$D44),TRUE,OFFSET(AC44,1,0,$D44))/SUMIF(OFFSET($B44,1,0,$D44),TRUE,OFFSET($K44,1,0,$D44))*$N42,2))</f>
        <v>45060.06</v>
      </c>
      <c r="AD44" s="169">
        <f aca="true" ca="1" t="shared" si="294" ref="AD44">IF($B44,ROUND(AD43*$N42,2),ROUND(SUMIF(OFFSET($B44,1,0,$D44),TRUE,OFFSET(AD44,1,0,$D44))/SUMIF(OFFSET($B44,1,0,$D44),TRUE,OFFSET($K44,1,0,$D44))*$N42,2))</f>
        <v>45060.06</v>
      </c>
      <c r="AE44" s="207">
        <f aca="true" ca="1" t="shared" si="295" ref="AE44">IF($B44,ROUND(AE43*$N42,2),ROUND(SUMIF(OFFSET($B44,1,0,$D44),TRUE,OFFSET(AE44,1,0,$D44))/SUMIF(OFFSET($B44,1,0,$D44),TRUE,OFFSET($K44,1,0,$D44))*$N42,2))</f>
        <v>45060.06</v>
      </c>
      <c r="AF44" s="196"/>
      <c r="AK44" s="169">
        <f aca="true" ca="1" t="shared" si="296" ref="AK44">IF($B44,ROUND(AK43*$N42,2),ROUND(SUMIF(OFFSET($B44,1,0,$D44),TRUE,OFFSET(AK44,1,0,$D44))/SUMIF(OFFSET($B44,1,0,$D44),TRUE,OFFSET($K44,1,0,$D44))*$N42,2))</f>
        <v>0</v>
      </c>
    </row>
    <row r="45" spans="1:37" ht="14.25" customHeight="1">
      <c r="A45" s="82"/>
      <c r="B45" s="82"/>
      <c r="C45" s="82"/>
      <c r="D45" s="82"/>
      <c r="E45" s="82"/>
      <c r="F45" s="82"/>
      <c r="G45" s="82"/>
      <c r="H45" s="82"/>
      <c r="I45" s="82"/>
      <c r="J45" s="82"/>
      <c r="K45" s="82"/>
      <c r="L45" s="375" t="str">
        <f ca="1">INDEX(PO!K$12:K$174,MATCH($A47,PO!$V$12:$V$174,0))</f>
        <v>1.9.</v>
      </c>
      <c r="M45" s="377" t="str">
        <f ca="1">INDEX(PO!N$12:N$174,MATCH($A47,PO!$V$12:$V$174,0))</f>
        <v xml:space="preserve">Superestrutura - Vergas e Contravergas </v>
      </c>
      <c r="N45" s="379">
        <f aca="true" t="shared" si="297" ref="N45">IF(ROUND(K47,2)=0,K47,ROUND(K47,2))</f>
        <v>13611.43</v>
      </c>
      <c r="O45" s="220" t="s">
        <v>142</v>
      </c>
      <c r="P45" s="225">
        <v>0.1</v>
      </c>
      <c r="Q45" s="226">
        <v>0.1</v>
      </c>
      <c r="R45" s="226">
        <v>0.1</v>
      </c>
      <c r="S45" s="226">
        <v>0.1</v>
      </c>
      <c r="T45" s="226">
        <v>0.1</v>
      </c>
      <c r="U45" s="226">
        <v>0.1</v>
      </c>
      <c r="V45" s="226">
        <v>0.1</v>
      </c>
      <c r="W45" s="227">
        <v>0.1</v>
      </c>
      <c r="X45" s="225">
        <v>0.1</v>
      </c>
      <c r="Y45" s="226">
        <v>0.1</v>
      </c>
      <c r="Z45" s="226">
        <f aca="true" t="shared" si="298" ref="Z45">IF($B47,0,Z46-IF(ISNUMBER(Y46),Y46,0))</f>
        <v>0</v>
      </c>
      <c r="AA45" s="226">
        <f aca="true" t="shared" si="299" ref="AA45">IF($B47,0,AA46-IF(ISNUMBER(Z46),Z46,0))</f>
        <v>0</v>
      </c>
      <c r="AB45" s="226">
        <f aca="true" t="shared" si="300" ref="AB45">IF($B47,0,AB46-IF(ISNUMBER(AA46),AA46,0))</f>
        <v>0</v>
      </c>
      <c r="AC45" s="226">
        <f aca="true" t="shared" si="301" ref="AC45">IF($B47,0,AC46-IF(ISNUMBER(AB46),AB46,0))</f>
        <v>0</v>
      </c>
      <c r="AD45" s="226">
        <f aca="true" t="shared" si="302" ref="AD45">IF($B47,0,AD46-IF(ISNUMBER(AC46),AC46,0))</f>
        <v>0</v>
      </c>
      <c r="AE45" s="227">
        <f aca="true" t="shared" si="303" ref="AE45">IF($B47,0,AE46-IF(ISNUMBER(AD46),AD46,0))</f>
        <v>0</v>
      </c>
      <c r="AF45" s="196"/>
      <c r="AK45" s="221">
        <f aca="true" t="shared" si="304" ref="AK45">IF($B47,0,AK46-IF(ISNUMBER(AJ46),AJ46,0))</f>
        <v>0</v>
      </c>
    </row>
    <row r="46" spans="1:37" ht="13.8">
      <c r="A46" s="184"/>
      <c r="B46" s="184"/>
      <c r="C46" s="184"/>
      <c r="D46" s="184"/>
      <c r="E46" s="184"/>
      <c r="F46" s="184"/>
      <c r="G46" s="184"/>
      <c r="H46" s="184"/>
      <c r="I46" s="184"/>
      <c r="J46" s="184"/>
      <c r="K46" s="184"/>
      <c r="L46" s="376"/>
      <c r="M46" s="378"/>
      <c r="N46" s="380"/>
      <c r="O46" s="170" t="s">
        <v>144</v>
      </c>
      <c r="P46" s="198">
        <f aca="true" t="shared" si="305" ref="P46">MIN(IF($B47,P45+IF(ISNUMBER(O46),O46,0),P47/$N45),1)</f>
        <v>0.1</v>
      </c>
      <c r="Q46" s="168">
        <f aca="true" t="shared" si="306" ref="Q46">MIN(IF($B47,Q45+IF(ISNUMBER(P46),P46,0),Q47/$N45),1)</f>
        <v>0.2</v>
      </c>
      <c r="R46" s="168">
        <f aca="true" t="shared" si="307" ref="R46">MIN(IF($B47,R45+IF(ISNUMBER(Q46),Q46,0),R47/$N45),1)</f>
        <v>0.30000000000000004</v>
      </c>
      <c r="S46" s="168">
        <f aca="true" t="shared" si="308" ref="S46">MIN(IF($B47,S45+IF(ISNUMBER(R46),R46,0),S47/$N45),1)</f>
        <v>0.4</v>
      </c>
      <c r="T46" s="168">
        <f aca="true" t="shared" si="309" ref="T46">MIN(IF($B47,T45+IF(ISNUMBER(S46),S46,0),T47/$N45),1)</f>
        <v>0.5</v>
      </c>
      <c r="U46" s="168">
        <f aca="true" t="shared" si="310" ref="U46">MIN(IF($B47,U45+IF(ISNUMBER(T46),T46,0),U47/$N45),1)</f>
        <v>0.6</v>
      </c>
      <c r="V46" s="168">
        <f aca="true" t="shared" si="311" ref="V46">MIN(IF($B47,V45+IF(ISNUMBER(U46),U46,0),V47/$N45),1)</f>
        <v>0.7</v>
      </c>
      <c r="W46" s="168">
        <f aca="true" t="shared" si="312" ref="W46">MIN(IF($B47,W45+IF(ISNUMBER(V46),V46,0),W47/$N45),1)</f>
        <v>0.7999999999999999</v>
      </c>
      <c r="X46" s="198">
        <f aca="true" t="shared" si="313" ref="X46">MIN(IF($B47,X45+IF(ISNUMBER(W46),W46,0),X47/$N45),1)</f>
        <v>0.8999999999999999</v>
      </c>
      <c r="Y46" s="168">
        <f aca="true" t="shared" si="314" ref="Y46">MIN(IF($B47,Y45+IF(ISNUMBER(X46),X46,0),Y47/$N45),1)</f>
        <v>0.9999999999999999</v>
      </c>
      <c r="Z46" s="168">
        <f aca="true" t="shared" si="315" ref="Z46">MIN(IF($B47,Z45+IF(ISNUMBER(Y46),Y46,0),Z47/$N45),1)</f>
        <v>0.9999999999999999</v>
      </c>
      <c r="AA46" s="168">
        <f aca="true" t="shared" si="316" ref="AA46">MIN(IF($B47,AA45+IF(ISNUMBER(Z46),Z46,0),AA47/$N45),1)</f>
        <v>0.9999999999999999</v>
      </c>
      <c r="AB46" s="168">
        <f aca="true" t="shared" si="317" ref="AB46">MIN(IF($B47,AB45+IF(ISNUMBER(AA46),AA46,0),AB47/$N45),1)</f>
        <v>0.9999999999999999</v>
      </c>
      <c r="AC46" s="168">
        <f aca="true" t="shared" si="318" ref="AC46">MIN(IF($B47,AC45+IF(ISNUMBER(AB46),AB46,0),AC47/$N45),1)</f>
        <v>0.9999999999999999</v>
      </c>
      <c r="AD46" s="168">
        <f aca="true" t="shared" si="319" ref="AD46">MIN(IF($B47,AD45+IF(ISNUMBER(AC46),AC46,0),AD47/$N45),1)</f>
        <v>0.9999999999999999</v>
      </c>
      <c r="AE46" s="168">
        <f aca="true" t="shared" si="320" ref="AE46">MIN(IF($B47,AE45+IF(ISNUMBER(AD46),AD46,0),AE47/$N45),1)</f>
        <v>0.9999999999999999</v>
      </c>
      <c r="AF46" s="196"/>
      <c r="AK46" s="168">
        <f aca="true" t="shared" si="321" ref="AK46">MIN(IF($B47,AK45+IF(ISNUMBER(AJ46),AJ46,0),AK47/$N45),1)</f>
        <v>0</v>
      </c>
    </row>
    <row r="47" spans="1:37" ht="13.8">
      <c r="A47" s="184">
        <f ca="1">OFFSET(A47,-CFF.NumLinha,0)+1</f>
        <v>10</v>
      </c>
      <c r="B47" s="184" t="b">
        <f ca="1">$C47&gt;=OFFSET($C47,CFF.NumLinha,0)</f>
        <v>1</v>
      </c>
      <c r="C47" s="184">
        <f ca="1">INDEX(PO!A$12:A$174,MATCH($A47,PO!$V$12:$V$174,0))</f>
        <v>2</v>
      </c>
      <c r="D47" s="184">
        <f aca="true" t="shared" si="322" ref="D47">IF(ISERROR(J47),I47,SMALL(I47:J47,1))-1</f>
        <v>2</v>
      </c>
      <c r="E47" s="184">
        <f ca="1">IF($C47=1,OFFSET(E47,-CFF.NumLinha,0)+1,OFFSET(E47,-CFF.NumLinha,0))</f>
        <v>1</v>
      </c>
      <c r="F47" s="184">
        <f ca="1">IF($C47=1,0,IF($C47=2,OFFSET(F47,-CFF.NumLinha,0)+1,OFFSET(F47,-CFF.NumLinha,0)))</f>
        <v>9</v>
      </c>
      <c r="G47" s="184">
        <f ca="1">IF(AND($C47&lt;=2,$C47&lt;&gt;0),0,IF($C47=3,OFFSET(G47,-CFF.NumLinha,0)+1,OFFSET(G47,-CFF.NumLinha,0)))</f>
        <v>0</v>
      </c>
      <c r="H47" s="184">
        <f ca="1">IF(AND($C47&lt;=3,$C47&lt;&gt;0),0,IF($C47=4,OFFSET(H47,-CFF.NumLinha,0)+1,OFFSET(H47,-CFF.NumLinha,0)))</f>
        <v>0</v>
      </c>
      <c r="I47" s="184">
        <f aca="true" ca="1" t="shared" si="323" ref="I47">MATCH(0,OFFSET($D47,1,$C47,ROW($A$81)-ROW($A47)),0)</f>
        <v>34</v>
      </c>
      <c r="J47" s="184">
        <f aca="true" ca="1" t="shared" si="324" ref="J47">MATCH(OFFSET($D47,0,$C47)+1,OFFSET($D47,1,$C47,ROW($A$81)-ROW($A47)),0)</f>
        <v>3</v>
      </c>
      <c r="K47" s="185">
        <f ca="1">ROUND(INDEX(PO!T$12:T$174,MATCH($A47,PO!$V$12:$V$174,0)),2)+10^-12</f>
        <v>13611.430000000002</v>
      </c>
      <c r="L47" s="376"/>
      <c r="M47" s="378"/>
      <c r="N47" s="380"/>
      <c r="O47" s="204" t="s">
        <v>20</v>
      </c>
      <c r="P47" s="199">
        <f aca="true" ca="1" t="shared" si="325" ref="P47:W47">IF($B47,ROUND(P46*$N45,2),ROUND(SUMIF(OFFSET($B47,1,0,$D47),TRUE,OFFSET(P47,1,0,$D47))/SUMIF(OFFSET($B47,1,0,$D47),TRUE,OFFSET($K47,1,0,$D47))*$N45,2))</f>
        <v>1361.14</v>
      </c>
      <c r="Q47" s="169">
        <f ca="1" t="shared" si="325"/>
        <v>2722.29</v>
      </c>
      <c r="R47" s="169">
        <f ca="1" t="shared" si="325"/>
        <v>4083.43</v>
      </c>
      <c r="S47" s="169">
        <f ca="1" t="shared" si="325"/>
        <v>5444.57</v>
      </c>
      <c r="T47" s="169">
        <f ca="1" t="shared" si="325"/>
        <v>6805.72</v>
      </c>
      <c r="U47" s="169">
        <f ca="1" t="shared" si="325"/>
        <v>8166.86</v>
      </c>
      <c r="V47" s="169">
        <f ca="1" t="shared" si="325"/>
        <v>9528</v>
      </c>
      <c r="W47" s="207">
        <f ca="1" t="shared" si="325"/>
        <v>10889.14</v>
      </c>
      <c r="X47" s="199">
        <f aca="true" ca="1" t="shared" si="326" ref="X47">IF($B47,ROUND(X46*$N45,2),ROUND(SUMIF(OFFSET($B47,1,0,$D47),TRUE,OFFSET(X47,1,0,$D47))/SUMIF(OFFSET($B47,1,0,$D47),TRUE,OFFSET($K47,1,0,$D47))*$N45,2))</f>
        <v>12250.29</v>
      </c>
      <c r="Y47" s="169">
        <f aca="true" ca="1" t="shared" si="327" ref="Y47">IF($B47,ROUND(Y46*$N45,2),ROUND(SUMIF(OFFSET($B47,1,0,$D47),TRUE,OFFSET(Y47,1,0,$D47))/SUMIF(OFFSET($B47,1,0,$D47),TRUE,OFFSET($K47,1,0,$D47))*$N45,2))</f>
        <v>13611.43</v>
      </c>
      <c r="Z47" s="169">
        <f aca="true" ca="1" t="shared" si="328" ref="Z47">IF($B47,ROUND(Z46*$N45,2),ROUND(SUMIF(OFFSET($B47,1,0,$D47),TRUE,OFFSET(Z47,1,0,$D47))/SUMIF(OFFSET($B47,1,0,$D47),TRUE,OFFSET($K47,1,0,$D47))*$N45,2))</f>
        <v>13611.43</v>
      </c>
      <c r="AA47" s="169">
        <f aca="true" ca="1" t="shared" si="329" ref="AA47">IF($B47,ROUND(AA46*$N45,2),ROUND(SUMIF(OFFSET($B47,1,0,$D47),TRUE,OFFSET(AA47,1,0,$D47))/SUMIF(OFFSET($B47,1,0,$D47),TRUE,OFFSET($K47,1,0,$D47))*$N45,2))</f>
        <v>13611.43</v>
      </c>
      <c r="AB47" s="169">
        <f aca="true" ca="1" t="shared" si="330" ref="AB47">IF($B47,ROUND(AB46*$N45,2),ROUND(SUMIF(OFFSET($B47,1,0,$D47),TRUE,OFFSET(AB47,1,0,$D47))/SUMIF(OFFSET($B47,1,0,$D47),TRUE,OFFSET($K47,1,0,$D47))*$N45,2))</f>
        <v>13611.43</v>
      </c>
      <c r="AC47" s="169">
        <f aca="true" ca="1" t="shared" si="331" ref="AC47">IF($B47,ROUND(AC46*$N45,2),ROUND(SUMIF(OFFSET($B47,1,0,$D47),TRUE,OFFSET(AC47,1,0,$D47))/SUMIF(OFFSET($B47,1,0,$D47),TRUE,OFFSET($K47,1,0,$D47))*$N45,2))</f>
        <v>13611.43</v>
      </c>
      <c r="AD47" s="169">
        <f aca="true" ca="1" t="shared" si="332" ref="AD47">IF($B47,ROUND(AD46*$N45,2),ROUND(SUMIF(OFFSET($B47,1,0,$D47),TRUE,OFFSET(AD47,1,0,$D47))/SUMIF(OFFSET($B47,1,0,$D47),TRUE,OFFSET($K47,1,0,$D47))*$N45,2))</f>
        <v>13611.43</v>
      </c>
      <c r="AE47" s="207">
        <f aca="true" ca="1" t="shared" si="333" ref="AE47">IF($B47,ROUND(AE46*$N45,2),ROUND(SUMIF(OFFSET($B47,1,0,$D47),TRUE,OFFSET(AE47,1,0,$D47))/SUMIF(OFFSET($B47,1,0,$D47),TRUE,OFFSET($K47,1,0,$D47))*$N45,2))</f>
        <v>13611.43</v>
      </c>
      <c r="AF47" s="196"/>
      <c r="AK47" s="169">
        <f aca="true" ca="1" t="shared" si="334" ref="AK47">IF($B47,ROUND(AK46*$N45,2),ROUND(SUMIF(OFFSET($B47,1,0,$D47),TRUE,OFFSET(AK47,1,0,$D47))/SUMIF(OFFSET($B47,1,0,$D47),TRUE,OFFSET($K47,1,0,$D47))*$N45,2))</f>
        <v>0</v>
      </c>
    </row>
    <row r="48" spans="1:37" ht="14.25" customHeight="1">
      <c r="A48" s="82"/>
      <c r="B48" s="82"/>
      <c r="C48" s="82"/>
      <c r="D48" s="82"/>
      <c r="E48" s="82"/>
      <c r="F48" s="82"/>
      <c r="G48" s="82"/>
      <c r="H48" s="82"/>
      <c r="I48" s="82"/>
      <c r="J48" s="82"/>
      <c r="K48" s="82"/>
      <c r="L48" s="375" t="str">
        <f ca="1">INDEX(PO!K$12:K$174,MATCH($A50,PO!$V$12:$V$174,0))</f>
        <v>1.10.</v>
      </c>
      <c r="M48" s="377" t="str">
        <f ca="1">INDEX(PO!N$12:N$174,MATCH($A50,PO!$V$12:$V$174,0))</f>
        <v>Superestrutura - Pisos</v>
      </c>
      <c r="N48" s="379">
        <f aca="true" t="shared" si="335" ref="N48">IF(ROUND(K50,2)=0,K50,ROUND(K50,2))</f>
        <v>303108.78</v>
      </c>
      <c r="O48" s="220" t="s">
        <v>142</v>
      </c>
      <c r="P48" s="225">
        <v>0.1</v>
      </c>
      <c r="Q48" s="226">
        <v>0.1</v>
      </c>
      <c r="R48" s="226">
        <v>0.1</v>
      </c>
      <c r="S48" s="226">
        <v>0.1</v>
      </c>
      <c r="T48" s="226">
        <v>0.1</v>
      </c>
      <c r="U48" s="226">
        <v>0.1</v>
      </c>
      <c r="V48" s="226">
        <v>0.1</v>
      </c>
      <c r="W48" s="227">
        <v>0.1</v>
      </c>
      <c r="X48" s="225">
        <v>0.1</v>
      </c>
      <c r="Y48" s="226">
        <v>0.1</v>
      </c>
      <c r="Z48" s="226">
        <f aca="true" t="shared" si="336" ref="Z48">IF($B50,0,Z49-IF(ISNUMBER(Y49),Y49,0))</f>
        <v>0</v>
      </c>
      <c r="AA48" s="226">
        <f aca="true" t="shared" si="337" ref="AA48">IF($B50,0,AA49-IF(ISNUMBER(Z49),Z49,0))</f>
        <v>0</v>
      </c>
      <c r="AB48" s="226">
        <f aca="true" t="shared" si="338" ref="AB48">IF($B50,0,AB49-IF(ISNUMBER(AA49),AA49,0))</f>
        <v>0</v>
      </c>
      <c r="AC48" s="226">
        <f aca="true" t="shared" si="339" ref="AC48">IF($B50,0,AC49-IF(ISNUMBER(AB49),AB49,0))</f>
        <v>0</v>
      </c>
      <c r="AD48" s="226">
        <f aca="true" t="shared" si="340" ref="AD48">IF($B50,0,AD49-IF(ISNUMBER(AC49),AC49,0))</f>
        <v>0</v>
      </c>
      <c r="AE48" s="227">
        <f aca="true" t="shared" si="341" ref="AE48">IF($B50,0,AE49-IF(ISNUMBER(AD49),AD49,0))</f>
        <v>0</v>
      </c>
      <c r="AF48" s="196"/>
      <c r="AK48" s="221">
        <f aca="true" t="shared" si="342" ref="AK48">IF($B50,0,AK49-IF(ISNUMBER(AJ49),AJ49,0))</f>
        <v>0</v>
      </c>
    </row>
    <row r="49" spans="1:37" ht="13.8">
      <c r="A49" s="184"/>
      <c r="B49" s="184"/>
      <c r="C49" s="184"/>
      <c r="D49" s="184"/>
      <c r="E49" s="184"/>
      <c r="F49" s="184"/>
      <c r="G49" s="184"/>
      <c r="H49" s="184"/>
      <c r="I49" s="184"/>
      <c r="J49" s="184"/>
      <c r="K49" s="184"/>
      <c r="L49" s="376"/>
      <c r="M49" s="378"/>
      <c r="N49" s="380"/>
      <c r="O49" s="170" t="s">
        <v>144</v>
      </c>
      <c r="P49" s="198">
        <f aca="true" t="shared" si="343" ref="P49">MIN(IF($B50,P48+IF(ISNUMBER(O49),O49,0),P50/$N48),1)</f>
        <v>0.1</v>
      </c>
      <c r="Q49" s="168">
        <f aca="true" t="shared" si="344" ref="Q49">MIN(IF($B50,Q48+IF(ISNUMBER(P49),P49,0),Q50/$N48),1)</f>
        <v>0.2</v>
      </c>
      <c r="R49" s="168">
        <f aca="true" t="shared" si="345" ref="R49">MIN(IF($B50,R48+IF(ISNUMBER(Q49),Q49,0),R50/$N48),1)</f>
        <v>0.30000000000000004</v>
      </c>
      <c r="S49" s="168">
        <f aca="true" t="shared" si="346" ref="S49">MIN(IF($B50,S48+IF(ISNUMBER(R49),R49,0),S50/$N48),1)</f>
        <v>0.4</v>
      </c>
      <c r="T49" s="168">
        <f aca="true" t="shared" si="347" ref="T49">MIN(IF($B50,T48+IF(ISNUMBER(S49),S49,0),T50/$N48),1)</f>
        <v>0.5</v>
      </c>
      <c r="U49" s="168">
        <f aca="true" t="shared" si="348" ref="U49">MIN(IF($B50,U48+IF(ISNUMBER(T49),T49,0),U50/$N48),1)</f>
        <v>0.6</v>
      </c>
      <c r="V49" s="168">
        <f aca="true" t="shared" si="349" ref="V49">MIN(IF($B50,V48+IF(ISNUMBER(U49),U49,0),V50/$N48),1)</f>
        <v>0.7</v>
      </c>
      <c r="W49" s="168">
        <f aca="true" t="shared" si="350" ref="W49">MIN(IF($B50,W48+IF(ISNUMBER(V49),V49,0),W50/$N48),1)</f>
        <v>0.7999999999999999</v>
      </c>
      <c r="X49" s="198">
        <f aca="true" t="shared" si="351" ref="X49">MIN(IF($B50,X48+IF(ISNUMBER(W49),W49,0),X50/$N48),1)</f>
        <v>0.8999999999999999</v>
      </c>
      <c r="Y49" s="168">
        <f aca="true" t="shared" si="352" ref="Y49">MIN(IF($B50,Y48+IF(ISNUMBER(X49),X49,0),Y50/$N48),1)</f>
        <v>0.9999999999999999</v>
      </c>
      <c r="Z49" s="168">
        <f aca="true" t="shared" si="353" ref="Z49">MIN(IF($B50,Z48+IF(ISNUMBER(Y49),Y49,0),Z50/$N48),1)</f>
        <v>0.9999999999999999</v>
      </c>
      <c r="AA49" s="168">
        <f aca="true" t="shared" si="354" ref="AA49">MIN(IF($B50,AA48+IF(ISNUMBER(Z49),Z49,0),AA50/$N48),1)</f>
        <v>0.9999999999999999</v>
      </c>
      <c r="AB49" s="168">
        <f aca="true" t="shared" si="355" ref="AB49">MIN(IF($B50,AB48+IF(ISNUMBER(AA49),AA49,0),AB50/$N48),1)</f>
        <v>0.9999999999999999</v>
      </c>
      <c r="AC49" s="168">
        <f aca="true" t="shared" si="356" ref="AC49">MIN(IF($B50,AC48+IF(ISNUMBER(AB49),AB49,0),AC50/$N48),1)</f>
        <v>0.9999999999999999</v>
      </c>
      <c r="AD49" s="168">
        <f aca="true" t="shared" si="357" ref="AD49">MIN(IF($B50,AD48+IF(ISNUMBER(AC49),AC49,0),AD50/$N48),1)</f>
        <v>0.9999999999999999</v>
      </c>
      <c r="AE49" s="168">
        <f aca="true" t="shared" si="358" ref="AE49">MIN(IF($B50,AE48+IF(ISNUMBER(AD49),AD49,0),AE50/$N48),1)</f>
        <v>0.9999999999999999</v>
      </c>
      <c r="AF49" s="196"/>
      <c r="AK49" s="168">
        <f aca="true" t="shared" si="359" ref="AK49">MIN(IF($B50,AK48+IF(ISNUMBER(AJ49),AJ49,0),AK50/$N48),1)</f>
        <v>0</v>
      </c>
    </row>
    <row r="50" spans="1:37" ht="13.8">
      <c r="A50" s="184">
        <f ca="1">OFFSET(A50,-CFF.NumLinha,0)+1</f>
        <v>11</v>
      </c>
      <c r="B50" s="184" t="b">
        <f ca="1">$C50&gt;=OFFSET($C50,CFF.NumLinha,0)</f>
        <v>1</v>
      </c>
      <c r="C50" s="184">
        <f ca="1">INDEX(PO!A$12:A$174,MATCH($A50,PO!$V$12:$V$174,0))</f>
        <v>2</v>
      </c>
      <c r="D50" s="184">
        <f aca="true" t="shared" si="360" ref="D50">IF(ISERROR(J50),I50,SMALL(I50:J50,1))-1</f>
        <v>2</v>
      </c>
      <c r="E50" s="184">
        <f ca="1">IF($C50=1,OFFSET(E50,-CFF.NumLinha,0)+1,OFFSET(E50,-CFF.NumLinha,0))</f>
        <v>1</v>
      </c>
      <c r="F50" s="184">
        <f ca="1">IF($C50=1,0,IF($C50=2,OFFSET(F50,-CFF.NumLinha,0)+1,OFFSET(F50,-CFF.NumLinha,0)))</f>
        <v>10</v>
      </c>
      <c r="G50" s="184">
        <f ca="1">IF(AND($C50&lt;=2,$C50&lt;&gt;0),0,IF($C50=3,OFFSET(G50,-CFF.NumLinha,0)+1,OFFSET(G50,-CFF.NumLinha,0)))</f>
        <v>0</v>
      </c>
      <c r="H50" s="184">
        <f ca="1">IF(AND($C50&lt;=3,$C50&lt;&gt;0),0,IF($C50=4,OFFSET(H50,-CFF.NumLinha,0)+1,OFFSET(H50,-CFF.NumLinha,0)))</f>
        <v>0</v>
      </c>
      <c r="I50" s="184">
        <f aca="true" ca="1" t="shared" si="361" ref="I50">MATCH(0,OFFSET($D50,1,$C50,ROW($A$81)-ROW($A50)),0)</f>
        <v>31</v>
      </c>
      <c r="J50" s="184">
        <f aca="true" ca="1" t="shared" si="362" ref="J50">MATCH(OFFSET($D50,0,$C50)+1,OFFSET($D50,1,$C50,ROW($A$81)-ROW($A50)),0)</f>
        <v>3</v>
      </c>
      <c r="K50" s="185">
        <f ca="1">ROUND(INDEX(PO!T$12:T$174,MATCH($A50,PO!$V$12:$V$174,0)),2)+10^-12</f>
        <v>303108.78</v>
      </c>
      <c r="L50" s="376"/>
      <c r="M50" s="378"/>
      <c r="N50" s="380"/>
      <c r="O50" s="204" t="s">
        <v>20</v>
      </c>
      <c r="P50" s="199">
        <f aca="true" ca="1" t="shared" si="363" ref="P50:W50">IF($B50,ROUND(P49*$N48,2),ROUND(SUMIF(OFFSET($B50,1,0,$D50),TRUE,OFFSET(P50,1,0,$D50))/SUMIF(OFFSET($B50,1,0,$D50),TRUE,OFFSET($K50,1,0,$D50))*$N48,2))</f>
        <v>30310.88</v>
      </c>
      <c r="Q50" s="169">
        <f ca="1" t="shared" si="363"/>
        <v>60621.76</v>
      </c>
      <c r="R50" s="169">
        <f ca="1" t="shared" si="363"/>
        <v>90932.63</v>
      </c>
      <c r="S50" s="169">
        <f ca="1" t="shared" si="363"/>
        <v>121243.51</v>
      </c>
      <c r="T50" s="169">
        <f ca="1" t="shared" si="363"/>
        <v>151554.39</v>
      </c>
      <c r="U50" s="169">
        <f ca="1" t="shared" si="363"/>
        <v>181865.27</v>
      </c>
      <c r="V50" s="169">
        <f ca="1" t="shared" si="363"/>
        <v>212176.15</v>
      </c>
      <c r="W50" s="207">
        <f ca="1" t="shared" si="363"/>
        <v>242487.02</v>
      </c>
      <c r="X50" s="199">
        <f aca="true" ca="1" t="shared" si="364" ref="X50">IF($B50,ROUND(X49*$N48,2),ROUND(SUMIF(OFFSET($B50,1,0,$D50),TRUE,OFFSET(X50,1,0,$D50))/SUMIF(OFFSET($B50,1,0,$D50),TRUE,OFFSET($K50,1,0,$D50))*$N48,2))</f>
        <v>272797.9</v>
      </c>
      <c r="Y50" s="169">
        <f aca="true" ca="1" t="shared" si="365" ref="Y50">IF($B50,ROUND(Y49*$N48,2),ROUND(SUMIF(OFFSET($B50,1,0,$D50),TRUE,OFFSET(Y50,1,0,$D50))/SUMIF(OFFSET($B50,1,0,$D50),TRUE,OFFSET($K50,1,0,$D50))*$N48,2))</f>
        <v>303108.78</v>
      </c>
      <c r="Z50" s="169">
        <f aca="true" ca="1" t="shared" si="366" ref="Z50">IF($B50,ROUND(Z49*$N48,2),ROUND(SUMIF(OFFSET($B50,1,0,$D50),TRUE,OFFSET(Z50,1,0,$D50))/SUMIF(OFFSET($B50,1,0,$D50),TRUE,OFFSET($K50,1,0,$D50))*$N48,2))</f>
        <v>303108.78</v>
      </c>
      <c r="AA50" s="169">
        <f aca="true" ca="1" t="shared" si="367" ref="AA50">IF($B50,ROUND(AA49*$N48,2),ROUND(SUMIF(OFFSET($B50,1,0,$D50),TRUE,OFFSET(AA50,1,0,$D50))/SUMIF(OFFSET($B50,1,0,$D50),TRUE,OFFSET($K50,1,0,$D50))*$N48,2))</f>
        <v>303108.78</v>
      </c>
      <c r="AB50" s="169">
        <f aca="true" ca="1" t="shared" si="368" ref="AB50">IF($B50,ROUND(AB49*$N48,2),ROUND(SUMIF(OFFSET($B50,1,0,$D50),TRUE,OFFSET(AB50,1,0,$D50))/SUMIF(OFFSET($B50,1,0,$D50),TRUE,OFFSET($K50,1,0,$D50))*$N48,2))</f>
        <v>303108.78</v>
      </c>
      <c r="AC50" s="169">
        <f aca="true" ca="1" t="shared" si="369" ref="AC50">IF($B50,ROUND(AC49*$N48,2),ROUND(SUMIF(OFFSET($B50,1,0,$D50),TRUE,OFFSET(AC50,1,0,$D50))/SUMIF(OFFSET($B50,1,0,$D50),TRUE,OFFSET($K50,1,0,$D50))*$N48,2))</f>
        <v>303108.78</v>
      </c>
      <c r="AD50" s="169">
        <f aca="true" ca="1" t="shared" si="370" ref="AD50">IF($B50,ROUND(AD49*$N48,2),ROUND(SUMIF(OFFSET($B50,1,0,$D50),TRUE,OFFSET(AD50,1,0,$D50))/SUMIF(OFFSET($B50,1,0,$D50),TRUE,OFFSET($K50,1,0,$D50))*$N48,2))</f>
        <v>303108.78</v>
      </c>
      <c r="AE50" s="207">
        <f aca="true" ca="1" t="shared" si="371" ref="AE50">IF($B50,ROUND(AE49*$N48,2),ROUND(SUMIF(OFFSET($B50,1,0,$D50),TRUE,OFFSET(AE50,1,0,$D50))/SUMIF(OFFSET($B50,1,0,$D50),TRUE,OFFSET($K50,1,0,$D50))*$N48,2))</f>
        <v>303108.78</v>
      </c>
      <c r="AF50" s="196"/>
      <c r="AK50" s="169">
        <f aca="true" ca="1" t="shared" si="372" ref="AK50">IF($B50,ROUND(AK49*$N48,2),ROUND(SUMIF(OFFSET($B50,1,0,$D50),TRUE,OFFSET(AK50,1,0,$D50))/SUMIF(OFFSET($B50,1,0,$D50),TRUE,OFFSET($K50,1,0,$D50))*$N48,2))</f>
        <v>0</v>
      </c>
    </row>
    <row r="51" spans="1:37" ht="14.25" customHeight="1">
      <c r="A51" s="82"/>
      <c r="B51" s="82"/>
      <c r="C51" s="82"/>
      <c r="D51" s="82"/>
      <c r="E51" s="82"/>
      <c r="F51" s="82"/>
      <c r="G51" s="82"/>
      <c r="H51" s="82"/>
      <c r="I51" s="82"/>
      <c r="J51" s="82"/>
      <c r="K51" s="82"/>
      <c r="L51" s="375" t="str">
        <f ca="1">INDEX(PO!K$12:K$174,MATCH($A53,PO!$V$12:$V$174,0))</f>
        <v>1.11.</v>
      </c>
      <c r="M51" s="377" t="str">
        <f ca="1">INDEX(PO!N$12:N$174,MATCH($A53,PO!$V$12:$V$174,0))</f>
        <v xml:space="preserve">Rampa, Escada e Calçada Externa </v>
      </c>
      <c r="N51" s="379">
        <f aca="true" t="shared" si="373" ref="N51">IF(ROUND(K53,2)=0,K53,ROUND(K53,2))</f>
        <v>354139.49</v>
      </c>
      <c r="O51" s="220" t="s">
        <v>142</v>
      </c>
      <c r="P51" s="225">
        <v>0.1</v>
      </c>
      <c r="Q51" s="226">
        <v>0.1</v>
      </c>
      <c r="R51" s="226">
        <v>0.1</v>
      </c>
      <c r="S51" s="226">
        <v>0.1</v>
      </c>
      <c r="T51" s="226">
        <v>0.1</v>
      </c>
      <c r="U51" s="226">
        <v>0.1</v>
      </c>
      <c r="V51" s="226">
        <v>0.1</v>
      </c>
      <c r="W51" s="227">
        <v>0.1</v>
      </c>
      <c r="X51" s="225">
        <v>0.1</v>
      </c>
      <c r="Y51" s="226">
        <v>0.1</v>
      </c>
      <c r="Z51" s="226">
        <f aca="true" t="shared" si="374" ref="Z51">IF($B53,0,Z52-IF(ISNUMBER(Y52),Y52,0))</f>
        <v>0</v>
      </c>
      <c r="AA51" s="226">
        <f aca="true" t="shared" si="375" ref="AA51">IF($B53,0,AA52-IF(ISNUMBER(Z52),Z52,0))</f>
        <v>0</v>
      </c>
      <c r="AB51" s="226">
        <f aca="true" t="shared" si="376" ref="AB51">IF($B53,0,AB52-IF(ISNUMBER(AA52),AA52,0))</f>
        <v>0</v>
      </c>
      <c r="AC51" s="226">
        <f aca="true" t="shared" si="377" ref="AC51">IF($B53,0,AC52-IF(ISNUMBER(AB52),AB52,0))</f>
        <v>0</v>
      </c>
      <c r="AD51" s="226">
        <f aca="true" t="shared" si="378" ref="AD51">IF($B53,0,AD52-IF(ISNUMBER(AC52),AC52,0))</f>
        <v>0</v>
      </c>
      <c r="AE51" s="227">
        <f aca="true" t="shared" si="379" ref="AE51">IF($B53,0,AE52-IF(ISNUMBER(AD52),AD52,0))</f>
        <v>0</v>
      </c>
      <c r="AF51" s="196"/>
      <c r="AK51" s="221">
        <f aca="true" t="shared" si="380" ref="AK51">IF($B53,0,AK52-IF(ISNUMBER(AJ52),AJ52,0))</f>
        <v>0</v>
      </c>
    </row>
    <row r="52" spans="1:37" ht="13.8">
      <c r="A52" s="184"/>
      <c r="B52" s="184"/>
      <c r="C52" s="184"/>
      <c r="D52" s="184"/>
      <c r="E52" s="184"/>
      <c r="F52" s="184"/>
      <c r="G52" s="184"/>
      <c r="H52" s="184"/>
      <c r="I52" s="184"/>
      <c r="J52" s="184"/>
      <c r="K52" s="184"/>
      <c r="L52" s="376"/>
      <c r="M52" s="378"/>
      <c r="N52" s="380"/>
      <c r="O52" s="170" t="s">
        <v>144</v>
      </c>
      <c r="P52" s="198">
        <f aca="true" t="shared" si="381" ref="P52">MIN(IF($B53,P51+IF(ISNUMBER(O52),O52,0),P53/$N51),1)</f>
        <v>0.1</v>
      </c>
      <c r="Q52" s="168">
        <f aca="true" t="shared" si="382" ref="Q52">MIN(IF($B53,Q51+IF(ISNUMBER(P52),P52,0),Q53/$N51),1)</f>
        <v>0.2</v>
      </c>
      <c r="R52" s="168">
        <f aca="true" t="shared" si="383" ref="R52">MIN(IF($B53,R51+IF(ISNUMBER(Q52),Q52,0),R53/$N51),1)</f>
        <v>0.30000000000000004</v>
      </c>
      <c r="S52" s="168">
        <f aca="true" t="shared" si="384" ref="S52">MIN(IF($B53,S51+IF(ISNUMBER(R52),R52,0),S53/$N51),1)</f>
        <v>0.4</v>
      </c>
      <c r="T52" s="168">
        <f aca="true" t="shared" si="385" ref="T52">MIN(IF($B53,T51+IF(ISNUMBER(S52),S52,0),T53/$N51),1)</f>
        <v>0.5</v>
      </c>
      <c r="U52" s="168">
        <f aca="true" t="shared" si="386" ref="U52">MIN(IF($B53,U51+IF(ISNUMBER(T52),T52,0),U53/$N51),1)</f>
        <v>0.6</v>
      </c>
      <c r="V52" s="168">
        <f aca="true" t="shared" si="387" ref="V52">MIN(IF($B53,V51+IF(ISNUMBER(U52),U52,0),V53/$N51),1)</f>
        <v>0.7</v>
      </c>
      <c r="W52" s="168">
        <f aca="true" t="shared" si="388" ref="W52">MIN(IF($B53,W51+IF(ISNUMBER(V52),V52,0),W53/$N51),1)</f>
        <v>0.7999999999999999</v>
      </c>
      <c r="X52" s="198">
        <f aca="true" t="shared" si="389" ref="X52">MIN(IF($B53,X51+IF(ISNUMBER(W52),W52,0),X53/$N51),1)</f>
        <v>0.8999999999999999</v>
      </c>
      <c r="Y52" s="168">
        <f aca="true" t="shared" si="390" ref="Y52">MIN(IF($B53,Y51+IF(ISNUMBER(X52),X52,0),Y53/$N51),1)</f>
        <v>0.9999999999999999</v>
      </c>
      <c r="Z52" s="168">
        <f aca="true" t="shared" si="391" ref="Z52">MIN(IF($B53,Z51+IF(ISNUMBER(Y52),Y52,0),Z53/$N51),1)</f>
        <v>0.9999999999999999</v>
      </c>
      <c r="AA52" s="168">
        <f aca="true" t="shared" si="392" ref="AA52">MIN(IF($B53,AA51+IF(ISNUMBER(Z52),Z52,0),AA53/$N51),1)</f>
        <v>0.9999999999999999</v>
      </c>
      <c r="AB52" s="168">
        <f aca="true" t="shared" si="393" ref="AB52">MIN(IF($B53,AB51+IF(ISNUMBER(AA52),AA52,0),AB53/$N51),1)</f>
        <v>0.9999999999999999</v>
      </c>
      <c r="AC52" s="168">
        <f aca="true" t="shared" si="394" ref="AC52">MIN(IF($B53,AC51+IF(ISNUMBER(AB52),AB52,0),AC53/$N51),1)</f>
        <v>0.9999999999999999</v>
      </c>
      <c r="AD52" s="168">
        <f aca="true" t="shared" si="395" ref="AD52">MIN(IF($B53,AD51+IF(ISNUMBER(AC52),AC52,0),AD53/$N51),1)</f>
        <v>0.9999999999999999</v>
      </c>
      <c r="AE52" s="168">
        <f aca="true" t="shared" si="396" ref="AE52">MIN(IF($B53,AE51+IF(ISNUMBER(AD52),AD52,0),AE53/$N51),1)</f>
        <v>0.9999999999999999</v>
      </c>
      <c r="AF52" s="196"/>
      <c r="AK52" s="168">
        <f aca="true" t="shared" si="397" ref="AK52">MIN(IF($B53,AK51+IF(ISNUMBER(AJ52),AJ52,0),AK53/$N51),1)</f>
        <v>0</v>
      </c>
    </row>
    <row r="53" spans="1:37" ht="13.8">
      <c r="A53" s="184">
        <f ca="1">OFFSET(A53,-CFF.NumLinha,0)+1</f>
        <v>12</v>
      </c>
      <c r="B53" s="184" t="b">
        <f ca="1">$C53&gt;=OFFSET($C53,CFF.NumLinha,0)</f>
        <v>1</v>
      </c>
      <c r="C53" s="184">
        <f ca="1">INDEX(PO!A$12:A$174,MATCH($A53,PO!$V$12:$V$174,0))</f>
        <v>2</v>
      </c>
      <c r="D53" s="184">
        <f aca="true" t="shared" si="398" ref="D53">IF(ISERROR(J53),I53,SMALL(I53:J53,1))-1</f>
        <v>2</v>
      </c>
      <c r="E53" s="184">
        <f ca="1">IF($C53=1,OFFSET(E53,-CFF.NumLinha,0)+1,OFFSET(E53,-CFF.NumLinha,0))</f>
        <v>1</v>
      </c>
      <c r="F53" s="184">
        <f ca="1">IF($C53=1,0,IF($C53=2,OFFSET(F53,-CFF.NumLinha,0)+1,OFFSET(F53,-CFF.NumLinha,0)))</f>
        <v>11</v>
      </c>
      <c r="G53" s="184">
        <f ca="1">IF(AND($C53&lt;=2,$C53&lt;&gt;0),0,IF($C53=3,OFFSET(G53,-CFF.NumLinha,0)+1,OFFSET(G53,-CFF.NumLinha,0)))</f>
        <v>0</v>
      </c>
      <c r="H53" s="184">
        <f ca="1">IF(AND($C53&lt;=3,$C53&lt;&gt;0),0,IF($C53=4,OFFSET(H53,-CFF.NumLinha,0)+1,OFFSET(H53,-CFF.NumLinha,0)))</f>
        <v>0</v>
      </c>
      <c r="I53" s="184">
        <f aca="true" ca="1" t="shared" si="399" ref="I53">MATCH(0,OFFSET($D53,1,$C53,ROW($A$81)-ROW($A53)),0)</f>
        <v>28</v>
      </c>
      <c r="J53" s="184">
        <f aca="true" ca="1" t="shared" si="400" ref="J53">MATCH(OFFSET($D53,0,$C53)+1,OFFSET($D53,1,$C53,ROW($A$81)-ROW($A53)),0)</f>
        <v>3</v>
      </c>
      <c r="K53" s="185">
        <f ca="1">ROUND(INDEX(PO!T$12:T$174,MATCH($A53,PO!$V$12:$V$174,0)),2)+10^-12</f>
        <v>354139.49</v>
      </c>
      <c r="L53" s="376"/>
      <c r="M53" s="378"/>
      <c r="N53" s="380"/>
      <c r="O53" s="204" t="s">
        <v>20</v>
      </c>
      <c r="P53" s="199">
        <f aca="true" ca="1" t="shared" si="401" ref="P53:W53">IF($B53,ROUND(P52*$N51,2),ROUND(SUMIF(OFFSET($B53,1,0,$D53),TRUE,OFFSET(P53,1,0,$D53))/SUMIF(OFFSET($B53,1,0,$D53),TRUE,OFFSET($K53,1,0,$D53))*$N51,2))</f>
        <v>35413.95</v>
      </c>
      <c r="Q53" s="169">
        <f ca="1" t="shared" si="401"/>
        <v>70827.9</v>
      </c>
      <c r="R53" s="169">
        <f ca="1" t="shared" si="401"/>
        <v>106241.85</v>
      </c>
      <c r="S53" s="169">
        <f ca="1" t="shared" si="401"/>
        <v>141655.8</v>
      </c>
      <c r="T53" s="169">
        <f ca="1" t="shared" si="401"/>
        <v>177069.75</v>
      </c>
      <c r="U53" s="169">
        <f ca="1" t="shared" si="401"/>
        <v>212483.69</v>
      </c>
      <c r="V53" s="169">
        <f ca="1" t="shared" si="401"/>
        <v>247897.64</v>
      </c>
      <c r="W53" s="207">
        <f ca="1" t="shared" si="401"/>
        <v>283311.59</v>
      </c>
      <c r="X53" s="199">
        <f aca="true" ca="1" t="shared" si="402" ref="X53">IF($B53,ROUND(X52*$N51,2),ROUND(SUMIF(OFFSET($B53,1,0,$D53),TRUE,OFFSET(X53,1,0,$D53))/SUMIF(OFFSET($B53,1,0,$D53),TRUE,OFFSET($K53,1,0,$D53))*$N51,2))</f>
        <v>318725.54</v>
      </c>
      <c r="Y53" s="169">
        <f aca="true" ca="1" t="shared" si="403" ref="Y53">IF($B53,ROUND(Y52*$N51,2),ROUND(SUMIF(OFFSET($B53,1,0,$D53),TRUE,OFFSET(Y53,1,0,$D53))/SUMIF(OFFSET($B53,1,0,$D53),TRUE,OFFSET($K53,1,0,$D53))*$N51,2))</f>
        <v>354139.49</v>
      </c>
      <c r="Z53" s="169">
        <f aca="true" ca="1" t="shared" si="404" ref="Z53">IF($B53,ROUND(Z52*$N51,2),ROUND(SUMIF(OFFSET($B53,1,0,$D53),TRUE,OFFSET(Z53,1,0,$D53))/SUMIF(OFFSET($B53,1,0,$D53),TRUE,OFFSET($K53,1,0,$D53))*$N51,2))</f>
        <v>354139.49</v>
      </c>
      <c r="AA53" s="169">
        <f aca="true" ca="1" t="shared" si="405" ref="AA53">IF($B53,ROUND(AA52*$N51,2),ROUND(SUMIF(OFFSET($B53,1,0,$D53),TRUE,OFFSET(AA53,1,0,$D53))/SUMIF(OFFSET($B53,1,0,$D53),TRUE,OFFSET($K53,1,0,$D53))*$N51,2))</f>
        <v>354139.49</v>
      </c>
      <c r="AB53" s="169">
        <f aca="true" ca="1" t="shared" si="406" ref="AB53">IF($B53,ROUND(AB52*$N51,2),ROUND(SUMIF(OFFSET($B53,1,0,$D53),TRUE,OFFSET(AB53,1,0,$D53))/SUMIF(OFFSET($B53,1,0,$D53),TRUE,OFFSET($K53,1,0,$D53))*$N51,2))</f>
        <v>354139.49</v>
      </c>
      <c r="AC53" s="169">
        <f aca="true" ca="1" t="shared" si="407" ref="AC53">IF($B53,ROUND(AC52*$N51,2),ROUND(SUMIF(OFFSET($B53,1,0,$D53),TRUE,OFFSET(AC53,1,0,$D53))/SUMIF(OFFSET($B53,1,0,$D53),TRUE,OFFSET($K53,1,0,$D53))*$N51,2))</f>
        <v>354139.49</v>
      </c>
      <c r="AD53" s="169">
        <f aca="true" ca="1" t="shared" si="408" ref="AD53">IF($B53,ROUND(AD52*$N51,2),ROUND(SUMIF(OFFSET($B53,1,0,$D53),TRUE,OFFSET(AD53,1,0,$D53))/SUMIF(OFFSET($B53,1,0,$D53),TRUE,OFFSET($K53,1,0,$D53))*$N51,2))</f>
        <v>354139.49</v>
      </c>
      <c r="AE53" s="207">
        <f aca="true" ca="1" t="shared" si="409" ref="AE53">IF($B53,ROUND(AE52*$N51,2),ROUND(SUMIF(OFFSET($B53,1,0,$D53),TRUE,OFFSET(AE53,1,0,$D53))/SUMIF(OFFSET($B53,1,0,$D53),TRUE,OFFSET($K53,1,0,$D53))*$N51,2))</f>
        <v>354139.49</v>
      </c>
      <c r="AF53" s="196"/>
      <c r="AK53" s="169">
        <f aca="true" ca="1" t="shared" si="410" ref="AK53">IF($B53,ROUND(AK52*$N51,2),ROUND(SUMIF(OFFSET($B53,1,0,$D53),TRUE,OFFSET(AK53,1,0,$D53))/SUMIF(OFFSET($B53,1,0,$D53),TRUE,OFFSET($K53,1,0,$D53))*$N51,2))</f>
        <v>0</v>
      </c>
    </row>
    <row r="54" spans="1:37" ht="14.25" customHeight="1">
      <c r="A54" s="82"/>
      <c r="B54" s="82"/>
      <c r="C54" s="82"/>
      <c r="D54" s="82"/>
      <c r="E54" s="82"/>
      <c r="F54" s="82"/>
      <c r="G54" s="82"/>
      <c r="H54" s="82"/>
      <c r="I54" s="82"/>
      <c r="J54" s="82"/>
      <c r="K54" s="82"/>
      <c r="L54" s="375" t="str">
        <f ca="1">INDEX(PO!K$12:K$174,MATCH($A56,PO!$V$12:$V$174,0))</f>
        <v>1.12.</v>
      </c>
      <c r="M54" s="377" t="str">
        <f ca="1">INDEX(PO!N$12:N$174,MATCH($A56,PO!$V$12:$V$174,0))</f>
        <v>Cobertura - Estrutura e Telhado</v>
      </c>
      <c r="N54" s="379">
        <f aca="true" t="shared" si="411" ref="N54">IF(ROUND(K56,2)=0,K56,ROUND(K56,2))</f>
        <v>479140.99</v>
      </c>
      <c r="O54" s="220" t="s">
        <v>142</v>
      </c>
      <c r="P54" s="225">
        <v>0.1</v>
      </c>
      <c r="Q54" s="226">
        <v>0.1</v>
      </c>
      <c r="R54" s="226">
        <v>0.1</v>
      </c>
      <c r="S54" s="226">
        <v>0.1</v>
      </c>
      <c r="T54" s="226">
        <v>0.1</v>
      </c>
      <c r="U54" s="226">
        <v>0.1</v>
      </c>
      <c r="V54" s="226">
        <v>0.1</v>
      </c>
      <c r="W54" s="227">
        <v>0.1</v>
      </c>
      <c r="X54" s="225">
        <v>0.1</v>
      </c>
      <c r="Y54" s="226">
        <v>0.1</v>
      </c>
      <c r="Z54" s="226">
        <f aca="true" t="shared" si="412" ref="Z54">IF($B56,0,Z55-IF(ISNUMBER(Y55),Y55,0))</f>
        <v>0</v>
      </c>
      <c r="AA54" s="226">
        <f aca="true" t="shared" si="413" ref="AA54">IF($B56,0,AA55-IF(ISNUMBER(Z55),Z55,0))</f>
        <v>0</v>
      </c>
      <c r="AB54" s="226">
        <f aca="true" t="shared" si="414" ref="AB54">IF($B56,0,AB55-IF(ISNUMBER(AA55),AA55,0))</f>
        <v>0</v>
      </c>
      <c r="AC54" s="226">
        <f aca="true" t="shared" si="415" ref="AC54">IF($B56,0,AC55-IF(ISNUMBER(AB55),AB55,0))</f>
        <v>0</v>
      </c>
      <c r="AD54" s="226">
        <f aca="true" t="shared" si="416" ref="AD54">IF($B56,0,AD55-IF(ISNUMBER(AC55),AC55,0))</f>
        <v>0</v>
      </c>
      <c r="AE54" s="227">
        <f aca="true" t="shared" si="417" ref="AE54">IF($B56,0,AE55-IF(ISNUMBER(AD55),AD55,0))</f>
        <v>0</v>
      </c>
      <c r="AF54" s="196"/>
      <c r="AK54" s="221">
        <f aca="true" t="shared" si="418" ref="AK54">IF($B56,0,AK55-IF(ISNUMBER(AJ55),AJ55,0))</f>
        <v>0</v>
      </c>
    </row>
    <row r="55" spans="1:37" ht="13.8">
      <c r="A55" s="184"/>
      <c r="B55" s="184"/>
      <c r="C55" s="184"/>
      <c r="D55" s="184"/>
      <c r="E55" s="184"/>
      <c r="F55" s="184"/>
      <c r="G55" s="184"/>
      <c r="H55" s="184"/>
      <c r="I55" s="184"/>
      <c r="J55" s="184"/>
      <c r="K55" s="184"/>
      <c r="L55" s="376"/>
      <c r="M55" s="378"/>
      <c r="N55" s="380"/>
      <c r="O55" s="170" t="s">
        <v>144</v>
      </c>
      <c r="P55" s="198">
        <f aca="true" t="shared" si="419" ref="P55">MIN(IF($B56,P54+IF(ISNUMBER(O55),O55,0),P56/$N54),1)</f>
        <v>0.1</v>
      </c>
      <c r="Q55" s="168">
        <f aca="true" t="shared" si="420" ref="Q55">MIN(IF($B56,Q54+IF(ISNUMBER(P55),P55,0),Q56/$N54),1)</f>
        <v>0.2</v>
      </c>
      <c r="R55" s="168">
        <f aca="true" t="shared" si="421" ref="R55">MIN(IF($B56,R54+IF(ISNUMBER(Q55),Q55,0),R56/$N54),1)</f>
        <v>0.30000000000000004</v>
      </c>
      <c r="S55" s="168">
        <f aca="true" t="shared" si="422" ref="S55">MIN(IF($B56,S54+IF(ISNUMBER(R55),R55,0),S56/$N54),1)</f>
        <v>0.4</v>
      </c>
      <c r="T55" s="168">
        <f aca="true" t="shared" si="423" ref="T55">MIN(IF($B56,T54+IF(ISNUMBER(S55),S55,0),T56/$N54),1)</f>
        <v>0.5</v>
      </c>
      <c r="U55" s="168">
        <f aca="true" t="shared" si="424" ref="U55">MIN(IF($B56,U54+IF(ISNUMBER(T55),T55,0),U56/$N54),1)</f>
        <v>0.6</v>
      </c>
      <c r="V55" s="168">
        <f aca="true" t="shared" si="425" ref="V55">MIN(IF($B56,V54+IF(ISNUMBER(U55),U55,0),V56/$N54),1)</f>
        <v>0.7</v>
      </c>
      <c r="W55" s="168">
        <f aca="true" t="shared" si="426" ref="W55">MIN(IF($B56,W54+IF(ISNUMBER(V55),V55,0),W56/$N54),1)</f>
        <v>0.7999999999999999</v>
      </c>
      <c r="X55" s="198">
        <f aca="true" t="shared" si="427" ref="X55">MIN(IF($B56,X54+IF(ISNUMBER(W55),W55,0),X56/$N54),1)</f>
        <v>0.8999999999999999</v>
      </c>
      <c r="Y55" s="168">
        <f aca="true" t="shared" si="428" ref="Y55">MIN(IF($B56,Y54+IF(ISNUMBER(X55),X55,0),Y56/$N54),1)</f>
        <v>0.9999999999999999</v>
      </c>
      <c r="Z55" s="168">
        <f aca="true" t="shared" si="429" ref="Z55">MIN(IF($B56,Z54+IF(ISNUMBER(Y55),Y55,0),Z56/$N54),1)</f>
        <v>0.9999999999999999</v>
      </c>
      <c r="AA55" s="168">
        <f aca="true" t="shared" si="430" ref="AA55">MIN(IF($B56,AA54+IF(ISNUMBER(Z55),Z55,0),AA56/$N54),1)</f>
        <v>0.9999999999999999</v>
      </c>
      <c r="AB55" s="168">
        <f aca="true" t="shared" si="431" ref="AB55">MIN(IF($B56,AB54+IF(ISNUMBER(AA55),AA55,0),AB56/$N54),1)</f>
        <v>0.9999999999999999</v>
      </c>
      <c r="AC55" s="168">
        <f aca="true" t="shared" si="432" ref="AC55">MIN(IF($B56,AC54+IF(ISNUMBER(AB55),AB55,0),AC56/$N54),1)</f>
        <v>0.9999999999999999</v>
      </c>
      <c r="AD55" s="168">
        <f aca="true" t="shared" si="433" ref="AD55">MIN(IF($B56,AD54+IF(ISNUMBER(AC55),AC55,0),AD56/$N54),1)</f>
        <v>0.9999999999999999</v>
      </c>
      <c r="AE55" s="168">
        <f aca="true" t="shared" si="434" ref="AE55">MIN(IF($B56,AE54+IF(ISNUMBER(AD55),AD55,0),AE56/$N54),1)</f>
        <v>0.9999999999999999</v>
      </c>
      <c r="AF55" s="196"/>
      <c r="AK55" s="168">
        <f aca="true" t="shared" si="435" ref="AK55">MIN(IF($B56,AK54+IF(ISNUMBER(AJ55),AJ55,0),AK56/$N54),1)</f>
        <v>0</v>
      </c>
    </row>
    <row r="56" spans="1:37" ht="13.8">
      <c r="A56" s="184">
        <f ca="1">OFFSET(A56,-CFF.NumLinha,0)+1</f>
        <v>13</v>
      </c>
      <c r="B56" s="184" t="b">
        <f ca="1">$C56&gt;=OFFSET($C56,CFF.NumLinha,0)</f>
        <v>1</v>
      </c>
      <c r="C56" s="184">
        <f ca="1">INDEX(PO!A$12:A$174,MATCH($A56,PO!$V$12:$V$174,0))</f>
        <v>2</v>
      </c>
      <c r="D56" s="184">
        <f aca="true" t="shared" si="436" ref="D56">IF(ISERROR(J56),I56,SMALL(I56:J56,1))-1</f>
        <v>2</v>
      </c>
      <c r="E56" s="184">
        <f ca="1">IF($C56=1,OFFSET(E56,-CFF.NumLinha,0)+1,OFFSET(E56,-CFF.NumLinha,0))</f>
        <v>1</v>
      </c>
      <c r="F56" s="184">
        <f ca="1">IF($C56=1,0,IF($C56=2,OFFSET(F56,-CFF.NumLinha,0)+1,OFFSET(F56,-CFF.NumLinha,0)))</f>
        <v>12</v>
      </c>
      <c r="G56" s="184">
        <f ca="1">IF(AND($C56&lt;=2,$C56&lt;&gt;0),0,IF($C56=3,OFFSET(G56,-CFF.NumLinha,0)+1,OFFSET(G56,-CFF.NumLinha,0)))</f>
        <v>0</v>
      </c>
      <c r="H56" s="184">
        <f ca="1">IF(AND($C56&lt;=3,$C56&lt;&gt;0),0,IF($C56=4,OFFSET(H56,-CFF.NumLinha,0)+1,OFFSET(H56,-CFF.NumLinha,0)))</f>
        <v>0</v>
      </c>
      <c r="I56" s="184">
        <f aca="true" ca="1" t="shared" si="437" ref="I56">MATCH(0,OFFSET($D56,1,$C56,ROW($A$81)-ROW($A56)),0)</f>
        <v>25</v>
      </c>
      <c r="J56" s="184">
        <f aca="true" ca="1" t="shared" si="438" ref="J56">MATCH(OFFSET($D56,0,$C56)+1,OFFSET($D56,1,$C56,ROW($A$81)-ROW($A56)),0)</f>
        <v>3</v>
      </c>
      <c r="K56" s="185">
        <f ca="1">ROUND(INDEX(PO!T$12:T$174,MATCH($A56,PO!$V$12:$V$174,0)),2)+10^-12</f>
        <v>479140.99</v>
      </c>
      <c r="L56" s="376"/>
      <c r="M56" s="378"/>
      <c r="N56" s="380"/>
      <c r="O56" s="204" t="s">
        <v>20</v>
      </c>
      <c r="P56" s="199">
        <f aca="true" ca="1" t="shared" si="439" ref="P56:W56">IF($B56,ROUND(P55*$N54,2),ROUND(SUMIF(OFFSET($B56,1,0,$D56),TRUE,OFFSET(P56,1,0,$D56))/SUMIF(OFFSET($B56,1,0,$D56),TRUE,OFFSET($K56,1,0,$D56))*$N54,2))</f>
        <v>47914.1</v>
      </c>
      <c r="Q56" s="169">
        <f ca="1" t="shared" si="439"/>
        <v>95828.2</v>
      </c>
      <c r="R56" s="169">
        <f ca="1" t="shared" si="439"/>
        <v>143742.3</v>
      </c>
      <c r="S56" s="169">
        <f ca="1" t="shared" si="439"/>
        <v>191656.4</v>
      </c>
      <c r="T56" s="169">
        <f ca="1" t="shared" si="439"/>
        <v>239570.5</v>
      </c>
      <c r="U56" s="169">
        <f ca="1" t="shared" si="439"/>
        <v>287484.59</v>
      </c>
      <c r="V56" s="169">
        <f ca="1" t="shared" si="439"/>
        <v>335398.69</v>
      </c>
      <c r="W56" s="207">
        <f ca="1" t="shared" si="439"/>
        <v>383312.79</v>
      </c>
      <c r="X56" s="199">
        <f aca="true" ca="1" t="shared" si="440" ref="X56">IF($B56,ROUND(X55*$N54,2),ROUND(SUMIF(OFFSET($B56,1,0,$D56),TRUE,OFFSET(X56,1,0,$D56))/SUMIF(OFFSET($B56,1,0,$D56),TRUE,OFFSET($K56,1,0,$D56))*$N54,2))</f>
        <v>431226.89</v>
      </c>
      <c r="Y56" s="169">
        <f aca="true" ca="1" t="shared" si="441" ref="Y56">IF($B56,ROUND(Y55*$N54,2),ROUND(SUMIF(OFFSET($B56,1,0,$D56),TRUE,OFFSET(Y56,1,0,$D56))/SUMIF(OFFSET($B56,1,0,$D56),TRUE,OFFSET($K56,1,0,$D56))*$N54,2))</f>
        <v>479140.99</v>
      </c>
      <c r="Z56" s="169">
        <f aca="true" ca="1" t="shared" si="442" ref="Z56">IF($B56,ROUND(Z55*$N54,2),ROUND(SUMIF(OFFSET($B56,1,0,$D56),TRUE,OFFSET(Z56,1,0,$D56))/SUMIF(OFFSET($B56,1,0,$D56),TRUE,OFFSET($K56,1,0,$D56))*$N54,2))</f>
        <v>479140.99</v>
      </c>
      <c r="AA56" s="169">
        <f aca="true" ca="1" t="shared" si="443" ref="AA56">IF($B56,ROUND(AA55*$N54,2),ROUND(SUMIF(OFFSET($B56,1,0,$D56),TRUE,OFFSET(AA56,1,0,$D56))/SUMIF(OFFSET($B56,1,0,$D56),TRUE,OFFSET($K56,1,0,$D56))*$N54,2))</f>
        <v>479140.99</v>
      </c>
      <c r="AB56" s="169">
        <f aca="true" ca="1" t="shared" si="444" ref="AB56">IF($B56,ROUND(AB55*$N54,2),ROUND(SUMIF(OFFSET($B56,1,0,$D56),TRUE,OFFSET(AB56,1,0,$D56))/SUMIF(OFFSET($B56,1,0,$D56),TRUE,OFFSET($K56,1,0,$D56))*$N54,2))</f>
        <v>479140.99</v>
      </c>
      <c r="AC56" s="169">
        <f aca="true" ca="1" t="shared" si="445" ref="AC56">IF($B56,ROUND(AC55*$N54,2),ROUND(SUMIF(OFFSET($B56,1,0,$D56),TRUE,OFFSET(AC56,1,0,$D56))/SUMIF(OFFSET($B56,1,0,$D56),TRUE,OFFSET($K56,1,0,$D56))*$N54,2))</f>
        <v>479140.99</v>
      </c>
      <c r="AD56" s="169">
        <f aca="true" ca="1" t="shared" si="446" ref="AD56">IF($B56,ROUND(AD55*$N54,2),ROUND(SUMIF(OFFSET($B56,1,0,$D56),TRUE,OFFSET(AD56,1,0,$D56))/SUMIF(OFFSET($B56,1,0,$D56),TRUE,OFFSET($K56,1,0,$D56))*$N54,2))</f>
        <v>479140.99</v>
      </c>
      <c r="AE56" s="207">
        <f aca="true" ca="1" t="shared" si="447" ref="AE56">IF($B56,ROUND(AE55*$N54,2),ROUND(SUMIF(OFFSET($B56,1,0,$D56),TRUE,OFFSET(AE56,1,0,$D56))/SUMIF(OFFSET($B56,1,0,$D56),TRUE,OFFSET($K56,1,0,$D56))*$N54,2))</f>
        <v>479140.99</v>
      </c>
      <c r="AF56" s="196"/>
      <c r="AK56" s="169">
        <f aca="true" ca="1" t="shared" si="448" ref="AK56">IF($B56,ROUND(AK55*$N54,2),ROUND(SUMIF(OFFSET($B56,1,0,$D56),TRUE,OFFSET(AK56,1,0,$D56))/SUMIF(OFFSET($B56,1,0,$D56),TRUE,OFFSET($K56,1,0,$D56))*$N54,2))</f>
        <v>0</v>
      </c>
    </row>
    <row r="57" spans="1:37" ht="14.25" customHeight="1">
      <c r="A57" s="82"/>
      <c r="B57" s="82"/>
      <c r="C57" s="82"/>
      <c r="D57" s="82"/>
      <c r="E57" s="82"/>
      <c r="F57" s="82"/>
      <c r="G57" s="82"/>
      <c r="H57" s="82"/>
      <c r="I57" s="82"/>
      <c r="J57" s="82"/>
      <c r="K57" s="82"/>
      <c r="L57" s="375" t="str">
        <f ca="1">INDEX(PO!K$12:K$174,MATCH($A59,PO!$V$12:$V$174,0))</f>
        <v>1.13.</v>
      </c>
      <c r="M57" s="377" t="str">
        <f ca="1">INDEX(PO!N$12:N$174,MATCH($A59,PO!$V$12:$V$174,0))</f>
        <v xml:space="preserve">Estrutura Externa de Madeira </v>
      </c>
      <c r="N57" s="379">
        <f aca="true" t="shared" si="449" ref="N57">IF(ROUND(K59,2)=0,K59,ROUND(K59,2))</f>
        <v>41807.22</v>
      </c>
      <c r="O57" s="220" t="s">
        <v>142</v>
      </c>
      <c r="P57" s="225">
        <v>0.1</v>
      </c>
      <c r="Q57" s="226">
        <v>0.1</v>
      </c>
      <c r="R57" s="226">
        <v>0.1</v>
      </c>
      <c r="S57" s="226">
        <v>0.1</v>
      </c>
      <c r="T57" s="226">
        <v>0.1</v>
      </c>
      <c r="U57" s="226">
        <v>0.1</v>
      </c>
      <c r="V57" s="226">
        <v>0.1</v>
      </c>
      <c r="W57" s="227">
        <v>0.1</v>
      </c>
      <c r="X57" s="225">
        <v>0.1</v>
      </c>
      <c r="Y57" s="226">
        <v>0.1</v>
      </c>
      <c r="Z57" s="226">
        <f aca="true" t="shared" si="450" ref="Z57">IF($B59,0,Z58-IF(ISNUMBER(Y58),Y58,0))</f>
        <v>0</v>
      </c>
      <c r="AA57" s="226">
        <f aca="true" t="shared" si="451" ref="AA57">IF($B59,0,AA58-IF(ISNUMBER(Z58),Z58,0))</f>
        <v>0</v>
      </c>
      <c r="AB57" s="226">
        <f aca="true" t="shared" si="452" ref="AB57">IF($B59,0,AB58-IF(ISNUMBER(AA58),AA58,0))</f>
        <v>0</v>
      </c>
      <c r="AC57" s="226">
        <f aca="true" t="shared" si="453" ref="AC57">IF($B59,0,AC58-IF(ISNUMBER(AB58),AB58,0))</f>
        <v>0</v>
      </c>
      <c r="AD57" s="226">
        <f aca="true" t="shared" si="454" ref="AD57">IF($B59,0,AD58-IF(ISNUMBER(AC58),AC58,0))</f>
        <v>0</v>
      </c>
      <c r="AE57" s="227">
        <f aca="true" t="shared" si="455" ref="AE57">IF($B59,0,AE58-IF(ISNUMBER(AD58),AD58,0))</f>
        <v>0</v>
      </c>
      <c r="AF57" s="196"/>
      <c r="AK57" s="221">
        <f aca="true" t="shared" si="456" ref="AK57">IF($B59,0,AK58-IF(ISNUMBER(AJ58),AJ58,0))</f>
        <v>0</v>
      </c>
    </row>
    <row r="58" spans="1:37" ht="13.8">
      <c r="A58" s="184"/>
      <c r="B58" s="184"/>
      <c r="C58" s="184"/>
      <c r="D58" s="184"/>
      <c r="E58" s="184"/>
      <c r="F58" s="184"/>
      <c r="G58" s="184"/>
      <c r="H58" s="184"/>
      <c r="I58" s="184"/>
      <c r="J58" s="184"/>
      <c r="K58" s="184"/>
      <c r="L58" s="376"/>
      <c r="M58" s="378"/>
      <c r="N58" s="380"/>
      <c r="O58" s="170" t="s">
        <v>144</v>
      </c>
      <c r="P58" s="198">
        <f aca="true" t="shared" si="457" ref="P58">MIN(IF($B59,P57+IF(ISNUMBER(O58),O58,0),P59/$N57),1)</f>
        <v>0.1</v>
      </c>
      <c r="Q58" s="168">
        <f aca="true" t="shared" si="458" ref="Q58">MIN(IF($B59,Q57+IF(ISNUMBER(P58),P58,0),Q59/$N57),1)</f>
        <v>0.2</v>
      </c>
      <c r="R58" s="168">
        <f aca="true" t="shared" si="459" ref="R58">MIN(IF($B59,R57+IF(ISNUMBER(Q58),Q58,0),R59/$N57),1)</f>
        <v>0.30000000000000004</v>
      </c>
      <c r="S58" s="168">
        <f aca="true" t="shared" si="460" ref="S58">MIN(IF($B59,S57+IF(ISNUMBER(R58),R58,0),S59/$N57),1)</f>
        <v>0.4</v>
      </c>
      <c r="T58" s="168">
        <f aca="true" t="shared" si="461" ref="T58">MIN(IF($B59,T57+IF(ISNUMBER(S58),S58,0),T59/$N57),1)</f>
        <v>0.5</v>
      </c>
      <c r="U58" s="168">
        <f aca="true" t="shared" si="462" ref="U58">MIN(IF($B59,U57+IF(ISNUMBER(T58),T58,0),U59/$N57),1)</f>
        <v>0.6</v>
      </c>
      <c r="V58" s="168">
        <f aca="true" t="shared" si="463" ref="V58">MIN(IF($B59,V57+IF(ISNUMBER(U58),U58,0),V59/$N57),1)</f>
        <v>0.7</v>
      </c>
      <c r="W58" s="168">
        <f aca="true" t="shared" si="464" ref="W58">MIN(IF($B59,W57+IF(ISNUMBER(V58),V58,0),W59/$N57),1)</f>
        <v>0.7999999999999999</v>
      </c>
      <c r="X58" s="198">
        <f aca="true" t="shared" si="465" ref="X58">MIN(IF($B59,X57+IF(ISNUMBER(W58),W58,0),X59/$N57),1)</f>
        <v>0.8999999999999999</v>
      </c>
      <c r="Y58" s="168">
        <f aca="true" t="shared" si="466" ref="Y58">MIN(IF($B59,Y57+IF(ISNUMBER(X58),X58,0),Y59/$N57),1)</f>
        <v>0.9999999999999999</v>
      </c>
      <c r="Z58" s="168">
        <f aca="true" t="shared" si="467" ref="Z58">MIN(IF($B59,Z57+IF(ISNUMBER(Y58),Y58,0),Z59/$N57),1)</f>
        <v>0.9999999999999999</v>
      </c>
      <c r="AA58" s="168">
        <f aca="true" t="shared" si="468" ref="AA58">MIN(IF($B59,AA57+IF(ISNUMBER(Z58),Z58,0),AA59/$N57),1)</f>
        <v>0.9999999999999999</v>
      </c>
      <c r="AB58" s="168">
        <f aca="true" t="shared" si="469" ref="AB58">MIN(IF($B59,AB57+IF(ISNUMBER(AA58),AA58,0),AB59/$N57),1)</f>
        <v>0.9999999999999999</v>
      </c>
      <c r="AC58" s="168">
        <f aca="true" t="shared" si="470" ref="AC58">MIN(IF($B59,AC57+IF(ISNUMBER(AB58),AB58,0),AC59/$N57),1)</f>
        <v>0.9999999999999999</v>
      </c>
      <c r="AD58" s="168">
        <f aca="true" t="shared" si="471" ref="AD58">MIN(IF($B59,AD57+IF(ISNUMBER(AC58),AC58,0),AD59/$N57),1)</f>
        <v>0.9999999999999999</v>
      </c>
      <c r="AE58" s="168">
        <f aca="true" t="shared" si="472" ref="AE58">MIN(IF($B59,AE57+IF(ISNUMBER(AD58),AD58,0),AE59/$N57),1)</f>
        <v>0.9999999999999999</v>
      </c>
      <c r="AF58" s="196"/>
      <c r="AK58" s="168">
        <f aca="true" t="shared" si="473" ref="AK58">MIN(IF($B59,AK57+IF(ISNUMBER(AJ58),AJ58,0),AK59/$N57),1)</f>
        <v>0</v>
      </c>
    </row>
    <row r="59" spans="1:37" ht="13.8">
      <c r="A59" s="184">
        <f ca="1">OFFSET(A59,-CFF.NumLinha,0)+1</f>
        <v>14</v>
      </c>
      <c r="B59" s="184" t="b">
        <f ca="1">$C59&gt;=OFFSET($C59,CFF.NumLinha,0)</f>
        <v>1</v>
      </c>
      <c r="C59" s="184">
        <f ca="1">INDEX(PO!A$12:A$174,MATCH($A59,PO!$V$12:$V$174,0))</f>
        <v>2</v>
      </c>
      <c r="D59" s="184">
        <f aca="true" t="shared" si="474" ref="D59">IF(ISERROR(J59),I59,SMALL(I59:J59,1))-1</f>
        <v>2</v>
      </c>
      <c r="E59" s="184">
        <f ca="1">IF($C59=1,OFFSET(E59,-CFF.NumLinha,0)+1,OFFSET(E59,-CFF.NumLinha,0))</f>
        <v>1</v>
      </c>
      <c r="F59" s="184">
        <f ca="1">IF($C59=1,0,IF($C59=2,OFFSET(F59,-CFF.NumLinha,0)+1,OFFSET(F59,-CFF.NumLinha,0)))</f>
        <v>13</v>
      </c>
      <c r="G59" s="184">
        <f ca="1">IF(AND($C59&lt;=2,$C59&lt;&gt;0),0,IF($C59=3,OFFSET(G59,-CFF.NumLinha,0)+1,OFFSET(G59,-CFF.NumLinha,0)))</f>
        <v>0</v>
      </c>
      <c r="H59" s="184">
        <f ca="1">IF(AND($C59&lt;=3,$C59&lt;&gt;0),0,IF($C59=4,OFFSET(H59,-CFF.NumLinha,0)+1,OFFSET(H59,-CFF.NumLinha,0)))</f>
        <v>0</v>
      </c>
      <c r="I59" s="184">
        <f aca="true" ca="1" t="shared" si="475" ref="I59">MATCH(0,OFFSET($D59,1,$C59,ROW($A$81)-ROW($A59)),0)</f>
        <v>22</v>
      </c>
      <c r="J59" s="184">
        <f aca="true" ca="1" t="shared" si="476" ref="J59">MATCH(OFFSET($D59,0,$C59)+1,OFFSET($D59,1,$C59,ROW($A$81)-ROW($A59)),0)</f>
        <v>3</v>
      </c>
      <c r="K59" s="185">
        <f ca="1">ROUND(INDEX(PO!T$12:T$174,MATCH($A59,PO!$V$12:$V$174,0)),2)+10^-12</f>
        <v>41807.22</v>
      </c>
      <c r="L59" s="376"/>
      <c r="M59" s="378"/>
      <c r="N59" s="380"/>
      <c r="O59" s="204" t="s">
        <v>20</v>
      </c>
      <c r="P59" s="199">
        <f aca="true" ca="1" t="shared" si="477" ref="P59:W59">IF($B59,ROUND(P58*$N57,2),ROUND(SUMIF(OFFSET($B59,1,0,$D59),TRUE,OFFSET(P59,1,0,$D59))/SUMIF(OFFSET($B59,1,0,$D59),TRUE,OFFSET($K59,1,0,$D59))*$N57,2))</f>
        <v>4180.72</v>
      </c>
      <c r="Q59" s="169">
        <f ca="1" t="shared" si="477"/>
        <v>8361.44</v>
      </c>
      <c r="R59" s="169">
        <f ca="1" t="shared" si="477"/>
        <v>12542.17</v>
      </c>
      <c r="S59" s="169">
        <f ca="1" t="shared" si="477"/>
        <v>16722.89</v>
      </c>
      <c r="T59" s="169">
        <f ca="1" t="shared" si="477"/>
        <v>20903.61</v>
      </c>
      <c r="U59" s="169">
        <f ca="1" t="shared" si="477"/>
        <v>25084.33</v>
      </c>
      <c r="V59" s="169">
        <f ca="1" t="shared" si="477"/>
        <v>29265.05</v>
      </c>
      <c r="W59" s="207">
        <f ca="1" t="shared" si="477"/>
        <v>33445.78</v>
      </c>
      <c r="X59" s="199">
        <f aca="true" ca="1" t="shared" si="478" ref="X59">IF($B59,ROUND(X58*$N57,2),ROUND(SUMIF(OFFSET($B59,1,0,$D59),TRUE,OFFSET(X59,1,0,$D59))/SUMIF(OFFSET($B59,1,0,$D59),TRUE,OFFSET($K59,1,0,$D59))*$N57,2))</f>
        <v>37626.5</v>
      </c>
      <c r="Y59" s="169">
        <f aca="true" ca="1" t="shared" si="479" ref="Y59">IF($B59,ROUND(Y58*$N57,2),ROUND(SUMIF(OFFSET($B59,1,0,$D59),TRUE,OFFSET(Y59,1,0,$D59))/SUMIF(OFFSET($B59,1,0,$D59),TRUE,OFFSET($K59,1,0,$D59))*$N57,2))</f>
        <v>41807.22</v>
      </c>
      <c r="Z59" s="169">
        <f aca="true" ca="1" t="shared" si="480" ref="Z59">IF($B59,ROUND(Z58*$N57,2),ROUND(SUMIF(OFFSET($B59,1,0,$D59),TRUE,OFFSET(Z59,1,0,$D59))/SUMIF(OFFSET($B59,1,0,$D59),TRUE,OFFSET($K59,1,0,$D59))*$N57,2))</f>
        <v>41807.22</v>
      </c>
      <c r="AA59" s="169">
        <f aca="true" ca="1" t="shared" si="481" ref="AA59">IF($B59,ROUND(AA58*$N57,2),ROUND(SUMIF(OFFSET($B59,1,0,$D59),TRUE,OFFSET(AA59,1,0,$D59))/SUMIF(OFFSET($B59,1,0,$D59),TRUE,OFFSET($K59,1,0,$D59))*$N57,2))</f>
        <v>41807.22</v>
      </c>
      <c r="AB59" s="169">
        <f aca="true" ca="1" t="shared" si="482" ref="AB59">IF($B59,ROUND(AB58*$N57,2),ROUND(SUMIF(OFFSET($B59,1,0,$D59),TRUE,OFFSET(AB59,1,0,$D59))/SUMIF(OFFSET($B59,1,0,$D59),TRUE,OFFSET($K59,1,0,$D59))*$N57,2))</f>
        <v>41807.22</v>
      </c>
      <c r="AC59" s="169">
        <f aca="true" ca="1" t="shared" si="483" ref="AC59">IF($B59,ROUND(AC58*$N57,2),ROUND(SUMIF(OFFSET($B59,1,0,$D59),TRUE,OFFSET(AC59,1,0,$D59))/SUMIF(OFFSET($B59,1,0,$D59),TRUE,OFFSET($K59,1,0,$D59))*$N57,2))</f>
        <v>41807.22</v>
      </c>
      <c r="AD59" s="169">
        <f aca="true" ca="1" t="shared" si="484" ref="AD59">IF($B59,ROUND(AD58*$N57,2),ROUND(SUMIF(OFFSET($B59,1,0,$D59),TRUE,OFFSET(AD59,1,0,$D59))/SUMIF(OFFSET($B59,1,0,$D59),TRUE,OFFSET($K59,1,0,$D59))*$N57,2))</f>
        <v>41807.22</v>
      </c>
      <c r="AE59" s="207">
        <f aca="true" ca="1" t="shared" si="485" ref="AE59">IF($B59,ROUND(AE58*$N57,2),ROUND(SUMIF(OFFSET($B59,1,0,$D59),TRUE,OFFSET(AE59,1,0,$D59))/SUMIF(OFFSET($B59,1,0,$D59),TRUE,OFFSET($K59,1,0,$D59))*$N57,2))</f>
        <v>41807.22</v>
      </c>
      <c r="AF59" s="196"/>
      <c r="AK59" s="169">
        <f aca="true" ca="1" t="shared" si="486" ref="AK59">IF($B59,ROUND(AK58*$N57,2),ROUND(SUMIF(OFFSET($B59,1,0,$D59),TRUE,OFFSET(AK59,1,0,$D59))/SUMIF(OFFSET($B59,1,0,$D59),TRUE,OFFSET($K59,1,0,$D59))*$N57,2))</f>
        <v>0</v>
      </c>
    </row>
    <row r="60" spans="1:37" ht="14.25" customHeight="1">
      <c r="A60" s="82"/>
      <c r="B60" s="82"/>
      <c r="C60" s="82"/>
      <c r="D60" s="82"/>
      <c r="E60" s="82"/>
      <c r="F60" s="82"/>
      <c r="G60" s="82"/>
      <c r="H60" s="82"/>
      <c r="I60" s="82"/>
      <c r="J60" s="82"/>
      <c r="K60" s="82"/>
      <c r="L60" s="375" t="str">
        <f ca="1">INDEX(PO!K$12:K$174,MATCH($A62,PO!$V$12:$V$174,0))</f>
        <v>1.14.</v>
      </c>
      <c r="M60" s="377" t="str">
        <f ca="1">INDEX(PO!N$12:N$174,MATCH($A62,PO!$V$12:$V$174,0))</f>
        <v xml:space="preserve">Acabamento e Revestimento </v>
      </c>
      <c r="N60" s="379">
        <f aca="true" t="shared" si="487" ref="N60">IF(ROUND(K62,2)=0,K62,ROUND(K62,2))</f>
        <v>64418.84</v>
      </c>
      <c r="O60" s="220" t="s">
        <v>142</v>
      </c>
      <c r="P60" s="225">
        <v>0.1</v>
      </c>
      <c r="Q60" s="226">
        <v>0.1</v>
      </c>
      <c r="R60" s="226">
        <v>0.1</v>
      </c>
      <c r="S60" s="226">
        <v>0.1</v>
      </c>
      <c r="T60" s="226">
        <v>0.1</v>
      </c>
      <c r="U60" s="226">
        <v>0.1</v>
      </c>
      <c r="V60" s="226">
        <v>0.1</v>
      </c>
      <c r="W60" s="227">
        <v>0.1</v>
      </c>
      <c r="X60" s="225">
        <v>0.1</v>
      </c>
      <c r="Y60" s="226">
        <v>0.1</v>
      </c>
      <c r="Z60" s="226">
        <f aca="true" t="shared" si="488" ref="Z60">IF($B62,0,Z61-IF(ISNUMBER(Y61),Y61,0))</f>
        <v>0</v>
      </c>
      <c r="AA60" s="226">
        <f aca="true" t="shared" si="489" ref="AA60">IF($B62,0,AA61-IF(ISNUMBER(Z61),Z61,0))</f>
        <v>0</v>
      </c>
      <c r="AB60" s="226">
        <f aca="true" t="shared" si="490" ref="AB60">IF($B62,0,AB61-IF(ISNUMBER(AA61),AA61,0))</f>
        <v>0</v>
      </c>
      <c r="AC60" s="226">
        <f aca="true" t="shared" si="491" ref="AC60">IF($B62,0,AC61-IF(ISNUMBER(AB61),AB61,0))</f>
        <v>0</v>
      </c>
      <c r="AD60" s="226">
        <f aca="true" t="shared" si="492" ref="AD60">IF($B62,0,AD61-IF(ISNUMBER(AC61),AC61,0))</f>
        <v>0</v>
      </c>
      <c r="AE60" s="227">
        <f aca="true" t="shared" si="493" ref="AE60">IF($B62,0,AE61-IF(ISNUMBER(AD61),AD61,0))</f>
        <v>0</v>
      </c>
      <c r="AF60" s="196"/>
      <c r="AK60" s="221">
        <f aca="true" t="shared" si="494" ref="AK60">IF($B62,0,AK61-IF(ISNUMBER(AJ61),AJ61,0))</f>
        <v>0</v>
      </c>
    </row>
    <row r="61" spans="1:37" ht="13.8">
      <c r="A61" s="184"/>
      <c r="B61" s="184"/>
      <c r="C61" s="184"/>
      <c r="D61" s="184"/>
      <c r="E61" s="184"/>
      <c r="F61" s="184"/>
      <c r="G61" s="184"/>
      <c r="H61" s="184"/>
      <c r="I61" s="184"/>
      <c r="J61" s="184"/>
      <c r="K61" s="184"/>
      <c r="L61" s="376"/>
      <c r="M61" s="378"/>
      <c r="N61" s="380"/>
      <c r="O61" s="170" t="s">
        <v>144</v>
      </c>
      <c r="P61" s="198">
        <f aca="true" t="shared" si="495" ref="P61">MIN(IF($B62,P60+IF(ISNUMBER(O61),O61,0),P62/$N60),1)</f>
        <v>0.1</v>
      </c>
      <c r="Q61" s="168">
        <f aca="true" t="shared" si="496" ref="Q61">MIN(IF($B62,Q60+IF(ISNUMBER(P61),P61,0),Q62/$N60),1)</f>
        <v>0.2</v>
      </c>
      <c r="R61" s="168">
        <f aca="true" t="shared" si="497" ref="R61">MIN(IF($B62,R60+IF(ISNUMBER(Q61),Q61,0),R62/$N60),1)</f>
        <v>0.30000000000000004</v>
      </c>
      <c r="S61" s="168">
        <f aca="true" t="shared" si="498" ref="S61">MIN(IF($B62,S60+IF(ISNUMBER(R61),R61,0),S62/$N60),1)</f>
        <v>0.4</v>
      </c>
      <c r="T61" s="168">
        <f aca="true" t="shared" si="499" ref="T61">MIN(IF($B62,T60+IF(ISNUMBER(S61),S61,0),T62/$N60),1)</f>
        <v>0.5</v>
      </c>
      <c r="U61" s="168">
        <f aca="true" t="shared" si="500" ref="U61">MIN(IF($B62,U60+IF(ISNUMBER(T61),T61,0),U62/$N60),1)</f>
        <v>0.6</v>
      </c>
      <c r="V61" s="168">
        <f aca="true" t="shared" si="501" ref="V61">MIN(IF($B62,V60+IF(ISNUMBER(U61),U61,0),V62/$N60),1)</f>
        <v>0.7</v>
      </c>
      <c r="W61" s="168">
        <f aca="true" t="shared" si="502" ref="W61">MIN(IF($B62,W60+IF(ISNUMBER(V61),V61,0),W62/$N60),1)</f>
        <v>0.7999999999999999</v>
      </c>
      <c r="X61" s="198">
        <f aca="true" t="shared" si="503" ref="X61">MIN(IF($B62,X60+IF(ISNUMBER(W61),W61,0),X62/$N60),1)</f>
        <v>0.8999999999999999</v>
      </c>
      <c r="Y61" s="168">
        <f aca="true" t="shared" si="504" ref="Y61">MIN(IF($B62,Y60+IF(ISNUMBER(X61),X61,0),Y62/$N60),1)</f>
        <v>0.9999999999999999</v>
      </c>
      <c r="Z61" s="168">
        <f aca="true" t="shared" si="505" ref="Z61">MIN(IF($B62,Z60+IF(ISNUMBER(Y61),Y61,0),Z62/$N60),1)</f>
        <v>0.9999999999999999</v>
      </c>
      <c r="AA61" s="168">
        <f aca="true" t="shared" si="506" ref="AA61">MIN(IF($B62,AA60+IF(ISNUMBER(Z61),Z61,0),AA62/$N60),1)</f>
        <v>0.9999999999999999</v>
      </c>
      <c r="AB61" s="168">
        <f aca="true" t="shared" si="507" ref="AB61">MIN(IF($B62,AB60+IF(ISNUMBER(AA61),AA61,0),AB62/$N60),1)</f>
        <v>0.9999999999999999</v>
      </c>
      <c r="AC61" s="168">
        <f aca="true" t="shared" si="508" ref="AC61">MIN(IF($B62,AC60+IF(ISNUMBER(AB61),AB61,0),AC62/$N60),1)</f>
        <v>0.9999999999999999</v>
      </c>
      <c r="AD61" s="168">
        <f aca="true" t="shared" si="509" ref="AD61">MIN(IF($B62,AD60+IF(ISNUMBER(AC61),AC61,0),AD62/$N60),1)</f>
        <v>0.9999999999999999</v>
      </c>
      <c r="AE61" s="168">
        <f aca="true" t="shared" si="510" ref="AE61">MIN(IF($B62,AE60+IF(ISNUMBER(AD61),AD61,0),AE62/$N60),1)</f>
        <v>0.9999999999999999</v>
      </c>
      <c r="AF61" s="196"/>
      <c r="AK61" s="168">
        <f aca="true" t="shared" si="511" ref="AK61">MIN(IF($B62,AK60+IF(ISNUMBER(AJ61),AJ61,0),AK62/$N60),1)</f>
        <v>0</v>
      </c>
    </row>
    <row r="62" spans="1:37" ht="13.8">
      <c r="A62" s="184">
        <f ca="1">OFFSET(A62,-CFF.NumLinha,0)+1</f>
        <v>15</v>
      </c>
      <c r="B62" s="184" t="b">
        <f ca="1">$C62&gt;=OFFSET($C62,CFF.NumLinha,0)</f>
        <v>1</v>
      </c>
      <c r="C62" s="184">
        <f ca="1">INDEX(PO!A$12:A$174,MATCH($A62,PO!$V$12:$V$174,0))</f>
        <v>2</v>
      </c>
      <c r="D62" s="184">
        <f aca="true" t="shared" si="512" ref="D62">IF(ISERROR(J62),I62,SMALL(I62:J62,1))-1</f>
        <v>2</v>
      </c>
      <c r="E62" s="184">
        <f ca="1">IF($C62=1,OFFSET(E62,-CFF.NumLinha,0)+1,OFFSET(E62,-CFF.NumLinha,0))</f>
        <v>1</v>
      </c>
      <c r="F62" s="184">
        <f ca="1">IF($C62=1,0,IF($C62=2,OFFSET(F62,-CFF.NumLinha,0)+1,OFFSET(F62,-CFF.NumLinha,0)))</f>
        <v>14</v>
      </c>
      <c r="G62" s="184">
        <f ca="1">IF(AND($C62&lt;=2,$C62&lt;&gt;0),0,IF($C62=3,OFFSET(G62,-CFF.NumLinha,0)+1,OFFSET(G62,-CFF.NumLinha,0)))</f>
        <v>0</v>
      </c>
      <c r="H62" s="184">
        <f ca="1">IF(AND($C62&lt;=3,$C62&lt;&gt;0),0,IF($C62=4,OFFSET(H62,-CFF.NumLinha,0)+1,OFFSET(H62,-CFF.NumLinha,0)))</f>
        <v>0</v>
      </c>
      <c r="I62" s="184">
        <f aca="true" ca="1" t="shared" si="513" ref="I62">MATCH(0,OFFSET($D62,1,$C62,ROW($A$81)-ROW($A62)),0)</f>
        <v>19</v>
      </c>
      <c r="J62" s="184">
        <f aca="true" ca="1" t="shared" si="514" ref="J62">MATCH(OFFSET($D62,0,$C62)+1,OFFSET($D62,1,$C62,ROW($A$81)-ROW($A62)),0)</f>
        <v>3</v>
      </c>
      <c r="K62" s="185">
        <f ca="1">ROUND(INDEX(PO!T$12:T$174,MATCH($A62,PO!$V$12:$V$174,0)),2)+10^-12</f>
        <v>64418.84</v>
      </c>
      <c r="L62" s="376"/>
      <c r="M62" s="378"/>
      <c r="N62" s="380"/>
      <c r="O62" s="204" t="s">
        <v>20</v>
      </c>
      <c r="P62" s="199">
        <f aca="true" ca="1" t="shared" si="515" ref="P62:W62">IF($B62,ROUND(P61*$N60,2),ROUND(SUMIF(OFFSET($B62,1,0,$D62),TRUE,OFFSET(P62,1,0,$D62))/SUMIF(OFFSET($B62,1,0,$D62),TRUE,OFFSET($K62,1,0,$D62))*$N60,2))</f>
        <v>6441.88</v>
      </c>
      <c r="Q62" s="169">
        <f ca="1" t="shared" si="515"/>
        <v>12883.77</v>
      </c>
      <c r="R62" s="169">
        <f ca="1" t="shared" si="515"/>
        <v>19325.65</v>
      </c>
      <c r="S62" s="169">
        <f ca="1" t="shared" si="515"/>
        <v>25767.54</v>
      </c>
      <c r="T62" s="169">
        <f ca="1" t="shared" si="515"/>
        <v>32209.42</v>
      </c>
      <c r="U62" s="169">
        <f ca="1" t="shared" si="515"/>
        <v>38651.3</v>
      </c>
      <c r="V62" s="169">
        <f ca="1" t="shared" si="515"/>
        <v>45093.19</v>
      </c>
      <c r="W62" s="207">
        <f ca="1" t="shared" si="515"/>
        <v>51535.07</v>
      </c>
      <c r="X62" s="199">
        <f aca="true" ca="1" t="shared" si="516" ref="X62">IF($B62,ROUND(X61*$N60,2),ROUND(SUMIF(OFFSET($B62,1,0,$D62),TRUE,OFFSET(X62,1,0,$D62))/SUMIF(OFFSET($B62,1,0,$D62),TRUE,OFFSET($K62,1,0,$D62))*$N60,2))</f>
        <v>57976.96</v>
      </c>
      <c r="Y62" s="169">
        <f aca="true" ca="1" t="shared" si="517" ref="Y62">IF($B62,ROUND(Y61*$N60,2),ROUND(SUMIF(OFFSET($B62,1,0,$D62),TRUE,OFFSET(Y62,1,0,$D62))/SUMIF(OFFSET($B62,1,0,$D62),TRUE,OFFSET($K62,1,0,$D62))*$N60,2))</f>
        <v>64418.84</v>
      </c>
      <c r="Z62" s="169">
        <f aca="true" ca="1" t="shared" si="518" ref="Z62">IF($B62,ROUND(Z61*$N60,2),ROUND(SUMIF(OFFSET($B62,1,0,$D62),TRUE,OFFSET(Z62,1,0,$D62))/SUMIF(OFFSET($B62,1,0,$D62),TRUE,OFFSET($K62,1,0,$D62))*$N60,2))</f>
        <v>64418.84</v>
      </c>
      <c r="AA62" s="169">
        <f aca="true" ca="1" t="shared" si="519" ref="AA62">IF($B62,ROUND(AA61*$N60,2),ROUND(SUMIF(OFFSET($B62,1,0,$D62),TRUE,OFFSET(AA62,1,0,$D62))/SUMIF(OFFSET($B62,1,0,$D62),TRUE,OFFSET($K62,1,0,$D62))*$N60,2))</f>
        <v>64418.84</v>
      </c>
      <c r="AB62" s="169">
        <f aca="true" ca="1" t="shared" si="520" ref="AB62">IF($B62,ROUND(AB61*$N60,2),ROUND(SUMIF(OFFSET($B62,1,0,$D62),TRUE,OFFSET(AB62,1,0,$D62))/SUMIF(OFFSET($B62,1,0,$D62),TRUE,OFFSET($K62,1,0,$D62))*$N60,2))</f>
        <v>64418.84</v>
      </c>
      <c r="AC62" s="169">
        <f aca="true" ca="1" t="shared" si="521" ref="AC62">IF($B62,ROUND(AC61*$N60,2),ROUND(SUMIF(OFFSET($B62,1,0,$D62),TRUE,OFFSET(AC62,1,0,$D62))/SUMIF(OFFSET($B62,1,0,$D62),TRUE,OFFSET($K62,1,0,$D62))*$N60,2))</f>
        <v>64418.84</v>
      </c>
      <c r="AD62" s="169">
        <f aca="true" ca="1" t="shared" si="522" ref="AD62">IF($B62,ROUND(AD61*$N60,2),ROUND(SUMIF(OFFSET($B62,1,0,$D62),TRUE,OFFSET(AD62,1,0,$D62))/SUMIF(OFFSET($B62,1,0,$D62),TRUE,OFFSET($K62,1,0,$D62))*$N60,2))</f>
        <v>64418.84</v>
      </c>
      <c r="AE62" s="207">
        <f aca="true" ca="1" t="shared" si="523" ref="AE62">IF($B62,ROUND(AE61*$N60,2),ROUND(SUMIF(OFFSET($B62,1,0,$D62),TRUE,OFFSET(AE62,1,0,$D62))/SUMIF(OFFSET($B62,1,0,$D62),TRUE,OFFSET($K62,1,0,$D62))*$N60,2))</f>
        <v>64418.84</v>
      </c>
      <c r="AF62" s="196"/>
      <c r="AK62" s="169">
        <f aca="true" ca="1" t="shared" si="524" ref="AK62">IF($B62,ROUND(AK61*$N60,2),ROUND(SUMIF(OFFSET($B62,1,0,$D62),TRUE,OFFSET(AK62,1,0,$D62))/SUMIF(OFFSET($B62,1,0,$D62),TRUE,OFFSET($K62,1,0,$D62))*$N60,2))</f>
        <v>0</v>
      </c>
    </row>
    <row r="63" spans="1:37" ht="14.25" customHeight="1">
      <c r="A63" s="82"/>
      <c r="B63" s="82"/>
      <c r="C63" s="82"/>
      <c r="D63" s="82"/>
      <c r="E63" s="82"/>
      <c r="F63" s="82"/>
      <c r="G63" s="82"/>
      <c r="H63" s="82"/>
      <c r="I63" s="82"/>
      <c r="J63" s="82"/>
      <c r="K63" s="82"/>
      <c r="L63" s="375" t="str">
        <f ca="1">INDEX(PO!K$12:K$174,MATCH($A65,PO!$V$12:$V$174,0))</f>
        <v>1.15.</v>
      </c>
      <c r="M63" s="377" t="str">
        <f ca="1">INDEX(PO!N$12:N$174,MATCH($A65,PO!$V$12:$V$174,0))</f>
        <v xml:space="preserve">Pintura Estrutura e Cobertura </v>
      </c>
      <c r="N63" s="379">
        <f aca="true" t="shared" si="525" ref="N63">IF(ROUND(K65,2)=0,K65,ROUND(K65,2))</f>
        <v>179520.38</v>
      </c>
      <c r="O63" s="220" t="s">
        <v>142</v>
      </c>
      <c r="P63" s="225">
        <v>0.1</v>
      </c>
      <c r="Q63" s="226">
        <v>0.1</v>
      </c>
      <c r="R63" s="226">
        <v>0.1</v>
      </c>
      <c r="S63" s="226">
        <v>0.1</v>
      </c>
      <c r="T63" s="226">
        <v>0.1</v>
      </c>
      <c r="U63" s="226">
        <v>0.1</v>
      </c>
      <c r="V63" s="226">
        <v>0.1</v>
      </c>
      <c r="W63" s="227">
        <v>0.1</v>
      </c>
      <c r="X63" s="225">
        <v>0.1</v>
      </c>
      <c r="Y63" s="226">
        <v>0.1</v>
      </c>
      <c r="Z63" s="226">
        <f aca="true" t="shared" si="526" ref="Z63">IF($B65,0,Z64-IF(ISNUMBER(Y64),Y64,0))</f>
        <v>0</v>
      </c>
      <c r="AA63" s="226">
        <f aca="true" t="shared" si="527" ref="AA63">IF($B65,0,AA64-IF(ISNUMBER(Z64),Z64,0))</f>
        <v>0</v>
      </c>
      <c r="AB63" s="226">
        <f aca="true" t="shared" si="528" ref="AB63">IF($B65,0,AB64-IF(ISNUMBER(AA64),AA64,0))</f>
        <v>0</v>
      </c>
      <c r="AC63" s="226">
        <f aca="true" t="shared" si="529" ref="AC63">IF($B65,0,AC64-IF(ISNUMBER(AB64),AB64,0))</f>
        <v>0</v>
      </c>
      <c r="AD63" s="226">
        <f aca="true" t="shared" si="530" ref="AD63">IF($B65,0,AD64-IF(ISNUMBER(AC64),AC64,0))</f>
        <v>0</v>
      </c>
      <c r="AE63" s="227">
        <f aca="true" t="shared" si="531" ref="AE63">IF($B65,0,AE64-IF(ISNUMBER(AD64),AD64,0))</f>
        <v>0</v>
      </c>
      <c r="AF63" s="196"/>
      <c r="AK63" s="221">
        <f aca="true" t="shared" si="532" ref="AK63">IF($B65,0,AK64-IF(ISNUMBER(AJ64),AJ64,0))</f>
        <v>0</v>
      </c>
    </row>
    <row r="64" spans="1:37" ht="13.8">
      <c r="A64" s="184"/>
      <c r="B64" s="184"/>
      <c r="C64" s="184"/>
      <c r="D64" s="184"/>
      <c r="E64" s="184"/>
      <c r="F64" s="184"/>
      <c r="G64" s="184"/>
      <c r="H64" s="184"/>
      <c r="I64" s="184"/>
      <c r="J64" s="184"/>
      <c r="K64" s="184"/>
      <c r="L64" s="376"/>
      <c r="M64" s="378"/>
      <c r="N64" s="380"/>
      <c r="O64" s="170" t="s">
        <v>144</v>
      </c>
      <c r="P64" s="198">
        <f aca="true" t="shared" si="533" ref="P64">MIN(IF($B65,P63+IF(ISNUMBER(O64),O64,0),P65/$N63),1)</f>
        <v>0.1</v>
      </c>
      <c r="Q64" s="168">
        <f aca="true" t="shared" si="534" ref="Q64">MIN(IF($B65,Q63+IF(ISNUMBER(P64),P64,0),Q65/$N63),1)</f>
        <v>0.2</v>
      </c>
      <c r="R64" s="168">
        <f aca="true" t="shared" si="535" ref="R64">MIN(IF($B65,R63+IF(ISNUMBER(Q64),Q64,0),R65/$N63),1)</f>
        <v>0.30000000000000004</v>
      </c>
      <c r="S64" s="168">
        <f aca="true" t="shared" si="536" ref="S64">MIN(IF($B65,S63+IF(ISNUMBER(R64),R64,0),S65/$N63),1)</f>
        <v>0.4</v>
      </c>
      <c r="T64" s="168">
        <f aca="true" t="shared" si="537" ref="T64">MIN(IF($B65,T63+IF(ISNUMBER(S64),S64,0),T65/$N63),1)</f>
        <v>0.5</v>
      </c>
      <c r="U64" s="168">
        <f aca="true" t="shared" si="538" ref="U64">MIN(IF($B65,U63+IF(ISNUMBER(T64),T64,0),U65/$N63),1)</f>
        <v>0.6</v>
      </c>
      <c r="V64" s="168">
        <f aca="true" t="shared" si="539" ref="V64">MIN(IF($B65,V63+IF(ISNUMBER(U64),U64,0),V65/$N63),1)</f>
        <v>0.7</v>
      </c>
      <c r="W64" s="168">
        <f aca="true" t="shared" si="540" ref="W64">MIN(IF($B65,W63+IF(ISNUMBER(V64),V64,0),W65/$N63),1)</f>
        <v>0.7999999999999999</v>
      </c>
      <c r="X64" s="198">
        <f aca="true" t="shared" si="541" ref="X64">MIN(IF($B65,X63+IF(ISNUMBER(W64),W64,0),X65/$N63),1)</f>
        <v>0.8999999999999999</v>
      </c>
      <c r="Y64" s="168">
        <f aca="true" t="shared" si="542" ref="Y64">MIN(IF($B65,Y63+IF(ISNUMBER(X64),X64,0),Y65/$N63),1)</f>
        <v>0.9999999999999999</v>
      </c>
      <c r="Z64" s="168">
        <f aca="true" t="shared" si="543" ref="Z64">MIN(IF($B65,Z63+IF(ISNUMBER(Y64),Y64,0),Z65/$N63),1)</f>
        <v>0.9999999999999999</v>
      </c>
      <c r="AA64" s="168">
        <f aca="true" t="shared" si="544" ref="AA64">MIN(IF($B65,AA63+IF(ISNUMBER(Z64),Z64,0),AA65/$N63),1)</f>
        <v>0.9999999999999999</v>
      </c>
      <c r="AB64" s="168">
        <f aca="true" t="shared" si="545" ref="AB64">MIN(IF($B65,AB63+IF(ISNUMBER(AA64),AA64,0),AB65/$N63),1)</f>
        <v>0.9999999999999999</v>
      </c>
      <c r="AC64" s="168">
        <f aca="true" t="shared" si="546" ref="AC64">MIN(IF($B65,AC63+IF(ISNUMBER(AB64),AB64,0),AC65/$N63),1)</f>
        <v>0.9999999999999999</v>
      </c>
      <c r="AD64" s="168">
        <f aca="true" t="shared" si="547" ref="AD64">MIN(IF($B65,AD63+IF(ISNUMBER(AC64),AC64,0),AD65/$N63),1)</f>
        <v>0.9999999999999999</v>
      </c>
      <c r="AE64" s="168">
        <f aca="true" t="shared" si="548" ref="AE64">MIN(IF($B65,AE63+IF(ISNUMBER(AD64),AD64,0),AE65/$N63),1)</f>
        <v>0.9999999999999999</v>
      </c>
      <c r="AF64" s="196"/>
      <c r="AK64" s="168">
        <f aca="true" t="shared" si="549" ref="AK64">MIN(IF($B65,AK63+IF(ISNUMBER(AJ64),AJ64,0),AK65/$N63),1)</f>
        <v>0</v>
      </c>
    </row>
    <row r="65" spans="1:37" ht="13.8">
      <c r="A65" s="184">
        <f ca="1">OFFSET(A65,-CFF.NumLinha,0)+1</f>
        <v>16</v>
      </c>
      <c r="B65" s="184" t="b">
        <f ca="1">$C65&gt;=OFFSET($C65,CFF.NumLinha,0)</f>
        <v>1</v>
      </c>
      <c r="C65" s="184">
        <f ca="1">INDEX(PO!A$12:A$174,MATCH($A65,PO!$V$12:$V$174,0))</f>
        <v>2</v>
      </c>
      <c r="D65" s="184">
        <f aca="true" t="shared" si="550" ref="D65">IF(ISERROR(J65),I65,SMALL(I65:J65,1))-1</f>
        <v>2</v>
      </c>
      <c r="E65" s="184">
        <f ca="1">IF($C65=1,OFFSET(E65,-CFF.NumLinha,0)+1,OFFSET(E65,-CFF.NumLinha,0))</f>
        <v>1</v>
      </c>
      <c r="F65" s="184">
        <f ca="1">IF($C65=1,0,IF($C65=2,OFFSET(F65,-CFF.NumLinha,0)+1,OFFSET(F65,-CFF.NumLinha,0)))</f>
        <v>15</v>
      </c>
      <c r="G65" s="184">
        <f ca="1">IF(AND($C65&lt;=2,$C65&lt;&gt;0),0,IF($C65=3,OFFSET(G65,-CFF.NumLinha,0)+1,OFFSET(G65,-CFF.NumLinha,0)))</f>
        <v>0</v>
      </c>
      <c r="H65" s="184">
        <f ca="1">IF(AND($C65&lt;=3,$C65&lt;&gt;0),0,IF($C65=4,OFFSET(H65,-CFF.NumLinha,0)+1,OFFSET(H65,-CFF.NumLinha,0)))</f>
        <v>0</v>
      </c>
      <c r="I65" s="184">
        <f aca="true" ca="1" t="shared" si="551" ref="I65">MATCH(0,OFFSET($D65,1,$C65,ROW($A$81)-ROW($A65)),0)</f>
        <v>16</v>
      </c>
      <c r="J65" s="184">
        <f aca="true" ca="1" t="shared" si="552" ref="J65">MATCH(OFFSET($D65,0,$C65)+1,OFFSET($D65,1,$C65,ROW($A$81)-ROW($A65)),0)</f>
        <v>3</v>
      </c>
      <c r="K65" s="185">
        <f ca="1">ROUND(INDEX(PO!T$12:T$174,MATCH($A65,PO!$V$12:$V$174,0)),2)+10^-12</f>
        <v>179520.38</v>
      </c>
      <c r="L65" s="376"/>
      <c r="M65" s="378"/>
      <c r="N65" s="380"/>
      <c r="O65" s="204" t="s">
        <v>20</v>
      </c>
      <c r="P65" s="199">
        <f aca="true" ca="1" t="shared" si="553" ref="P65:W65">IF($B65,ROUND(P64*$N63,2),ROUND(SUMIF(OFFSET($B65,1,0,$D65),TRUE,OFFSET(P65,1,0,$D65))/SUMIF(OFFSET($B65,1,0,$D65),TRUE,OFFSET($K65,1,0,$D65))*$N63,2))</f>
        <v>17952.04</v>
      </c>
      <c r="Q65" s="169">
        <f ca="1" t="shared" si="553"/>
        <v>35904.08</v>
      </c>
      <c r="R65" s="169">
        <f ca="1" t="shared" si="553"/>
        <v>53856.11</v>
      </c>
      <c r="S65" s="169">
        <f ca="1" t="shared" si="553"/>
        <v>71808.15</v>
      </c>
      <c r="T65" s="169">
        <f ca="1" t="shared" si="553"/>
        <v>89760.19</v>
      </c>
      <c r="U65" s="169">
        <f ca="1" t="shared" si="553"/>
        <v>107712.23</v>
      </c>
      <c r="V65" s="169">
        <f ca="1" t="shared" si="553"/>
        <v>125664.27</v>
      </c>
      <c r="W65" s="207">
        <f ca="1" t="shared" si="553"/>
        <v>143616.3</v>
      </c>
      <c r="X65" s="199">
        <f aca="true" ca="1" t="shared" si="554" ref="X65">IF($B65,ROUND(X64*$N63,2),ROUND(SUMIF(OFFSET($B65,1,0,$D65),TRUE,OFFSET(X65,1,0,$D65))/SUMIF(OFFSET($B65,1,0,$D65),TRUE,OFFSET($K65,1,0,$D65))*$N63,2))</f>
        <v>161568.34</v>
      </c>
      <c r="Y65" s="169">
        <f aca="true" ca="1" t="shared" si="555" ref="Y65">IF($B65,ROUND(Y64*$N63,2),ROUND(SUMIF(OFFSET($B65,1,0,$D65),TRUE,OFFSET(Y65,1,0,$D65))/SUMIF(OFFSET($B65,1,0,$D65),TRUE,OFFSET($K65,1,0,$D65))*$N63,2))</f>
        <v>179520.38</v>
      </c>
      <c r="Z65" s="169">
        <f aca="true" ca="1" t="shared" si="556" ref="Z65">IF($B65,ROUND(Z64*$N63,2),ROUND(SUMIF(OFFSET($B65,1,0,$D65),TRUE,OFFSET(Z65,1,0,$D65))/SUMIF(OFFSET($B65,1,0,$D65),TRUE,OFFSET($K65,1,0,$D65))*$N63,2))</f>
        <v>179520.38</v>
      </c>
      <c r="AA65" s="169">
        <f aca="true" ca="1" t="shared" si="557" ref="AA65">IF($B65,ROUND(AA64*$N63,2),ROUND(SUMIF(OFFSET($B65,1,0,$D65),TRUE,OFFSET(AA65,1,0,$D65))/SUMIF(OFFSET($B65,1,0,$D65),TRUE,OFFSET($K65,1,0,$D65))*$N63,2))</f>
        <v>179520.38</v>
      </c>
      <c r="AB65" s="169">
        <f aca="true" ca="1" t="shared" si="558" ref="AB65">IF($B65,ROUND(AB64*$N63,2),ROUND(SUMIF(OFFSET($B65,1,0,$D65),TRUE,OFFSET(AB65,1,0,$D65))/SUMIF(OFFSET($B65,1,0,$D65),TRUE,OFFSET($K65,1,0,$D65))*$N63,2))</f>
        <v>179520.38</v>
      </c>
      <c r="AC65" s="169">
        <f aca="true" ca="1" t="shared" si="559" ref="AC65">IF($B65,ROUND(AC64*$N63,2),ROUND(SUMIF(OFFSET($B65,1,0,$D65),TRUE,OFFSET(AC65,1,0,$D65))/SUMIF(OFFSET($B65,1,0,$D65),TRUE,OFFSET($K65,1,0,$D65))*$N63,2))</f>
        <v>179520.38</v>
      </c>
      <c r="AD65" s="169">
        <f aca="true" ca="1" t="shared" si="560" ref="AD65">IF($B65,ROUND(AD64*$N63,2),ROUND(SUMIF(OFFSET($B65,1,0,$D65),TRUE,OFFSET(AD65,1,0,$D65))/SUMIF(OFFSET($B65,1,0,$D65),TRUE,OFFSET($K65,1,0,$D65))*$N63,2))</f>
        <v>179520.38</v>
      </c>
      <c r="AE65" s="207">
        <f aca="true" ca="1" t="shared" si="561" ref="AE65">IF($B65,ROUND(AE64*$N63,2),ROUND(SUMIF(OFFSET($B65,1,0,$D65),TRUE,OFFSET(AE65,1,0,$D65))/SUMIF(OFFSET($B65,1,0,$D65),TRUE,OFFSET($K65,1,0,$D65))*$N63,2))</f>
        <v>179520.38</v>
      </c>
      <c r="AF65" s="196"/>
      <c r="AK65" s="169">
        <f aca="true" ca="1" t="shared" si="562" ref="AK65">IF($B65,ROUND(AK64*$N63,2),ROUND(SUMIF(OFFSET($B65,1,0,$D65),TRUE,OFFSET(AK65,1,0,$D65))/SUMIF(OFFSET($B65,1,0,$D65),TRUE,OFFSET($K65,1,0,$D65))*$N63,2))</f>
        <v>0</v>
      </c>
    </row>
    <row r="66" spans="1:37" ht="14.25" customHeight="1">
      <c r="A66" s="82"/>
      <c r="B66" s="82"/>
      <c r="C66" s="82"/>
      <c r="D66" s="82"/>
      <c r="E66" s="82"/>
      <c r="F66" s="82"/>
      <c r="G66" s="82"/>
      <c r="H66" s="82"/>
      <c r="I66" s="82"/>
      <c r="J66" s="82"/>
      <c r="K66" s="82"/>
      <c r="L66" s="375" t="str">
        <f ca="1">INDEX(PO!K$12:K$174,MATCH($A68,PO!$V$12:$V$174,0))</f>
        <v>1.16.</v>
      </c>
      <c r="M66" s="377" t="str">
        <f ca="1">INDEX(PO!N$12:N$174,MATCH($A68,PO!$V$12:$V$174,0))</f>
        <v>Esquadrias</v>
      </c>
      <c r="N66" s="379">
        <f aca="true" t="shared" si="563" ref="N66">IF(ROUND(K68,2)=0,K68,ROUND(K68,2))</f>
        <v>409918.54</v>
      </c>
      <c r="O66" s="220" t="s">
        <v>142</v>
      </c>
      <c r="P66" s="225">
        <v>0.1</v>
      </c>
      <c r="Q66" s="226">
        <v>0.1</v>
      </c>
      <c r="R66" s="226">
        <v>0.1</v>
      </c>
      <c r="S66" s="226">
        <v>0.1</v>
      </c>
      <c r="T66" s="226">
        <v>0.1</v>
      </c>
      <c r="U66" s="226">
        <v>0.1</v>
      </c>
      <c r="V66" s="226">
        <v>0.1</v>
      </c>
      <c r="W66" s="227">
        <v>0.1</v>
      </c>
      <c r="X66" s="225">
        <v>0.1</v>
      </c>
      <c r="Y66" s="226">
        <v>0.1</v>
      </c>
      <c r="Z66" s="226">
        <f aca="true" t="shared" si="564" ref="Z66">IF($B68,0,Z67-IF(ISNUMBER(Y67),Y67,0))</f>
        <v>0</v>
      </c>
      <c r="AA66" s="226">
        <f aca="true" t="shared" si="565" ref="AA66">IF($B68,0,AA67-IF(ISNUMBER(Z67),Z67,0))</f>
        <v>0</v>
      </c>
      <c r="AB66" s="226">
        <f aca="true" t="shared" si="566" ref="AB66">IF($B68,0,AB67-IF(ISNUMBER(AA67),AA67,0))</f>
        <v>0</v>
      </c>
      <c r="AC66" s="226">
        <f aca="true" t="shared" si="567" ref="AC66">IF($B68,0,AC67-IF(ISNUMBER(AB67),AB67,0))</f>
        <v>0</v>
      </c>
      <c r="AD66" s="226">
        <f aca="true" t="shared" si="568" ref="AD66">IF($B68,0,AD67-IF(ISNUMBER(AC67),AC67,0))</f>
        <v>0</v>
      </c>
      <c r="AE66" s="227">
        <f aca="true" t="shared" si="569" ref="AE66">IF($B68,0,AE67-IF(ISNUMBER(AD67),AD67,0))</f>
        <v>0</v>
      </c>
      <c r="AF66" s="196"/>
      <c r="AK66" s="221">
        <f aca="true" t="shared" si="570" ref="AK66">IF($B68,0,AK67-IF(ISNUMBER(AJ67),AJ67,0))</f>
        <v>0</v>
      </c>
    </row>
    <row r="67" spans="1:37" ht="13.8">
      <c r="A67" s="184"/>
      <c r="B67" s="184"/>
      <c r="C67" s="184"/>
      <c r="D67" s="184"/>
      <c r="E67" s="184"/>
      <c r="F67" s="184"/>
      <c r="G67" s="184"/>
      <c r="H67" s="184"/>
      <c r="I67" s="184"/>
      <c r="J67" s="184"/>
      <c r="K67" s="184"/>
      <c r="L67" s="376"/>
      <c r="M67" s="378"/>
      <c r="N67" s="380"/>
      <c r="O67" s="170" t="s">
        <v>144</v>
      </c>
      <c r="P67" s="198">
        <f aca="true" t="shared" si="571" ref="P67">MIN(IF($B68,P66+IF(ISNUMBER(O67),O67,0),P68/$N66),1)</f>
        <v>0.1</v>
      </c>
      <c r="Q67" s="168">
        <f aca="true" t="shared" si="572" ref="Q67">MIN(IF($B68,Q66+IF(ISNUMBER(P67),P67,0),Q68/$N66),1)</f>
        <v>0.2</v>
      </c>
      <c r="R67" s="168">
        <f aca="true" t="shared" si="573" ref="R67">MIN(IF($B68,R66+IF(ISNUMBER(Q67),Q67,0),R68/$N66),1)</f>
        <v>0.30000000000000004</v>
      </c>
      <c r="S67" s="168">
        <f aca="true" t="shared" si="574" ref="S67">MIN(IF($B68,S66+IF(ISNUMBER(R67),R67,0),S68/$N66),1)</f>
        <v>0.4</v>
      </c>
      <c r="T67" s="168">
        <f aca="true" t="shared" si="575" ref="T67">MIN(IF($B68,T66+IF(ISNUMBER(S67),S67,0),T68/$N66),1)</f>
        <v>0.5</v>
      </c>
      <c r="U67" s="168">
        <f aca="true" t="shared" si="576" ref="U67">MIN(IF($B68,U66+IF(ISNUMBER(T67),T67,0),U68/$N66),1)</f>
        <v>0.6</v>
      </c>
      <c r="V67" s="168">
        <f aca="true" t="shared" si="577" ref="V67">MIN(IF($B68,V66+IF(ISNUMBER(U67),U67,0),V68/$N66),1)</f>
        <v>0.7</v>
      </c>
      <c r="W67" s="168">
        <f aca="true" t="shared" si="578" ref="W67">MIN(IF($B68,W66+IF(ISNUMBER(V67),V67,0),W68/$N66),1)</f>
        <v>0.7999999999999999</v>
      </c>
      <c r="X67" s="198">
        <f aca="true" t="shared" si="579" ref="X67">MIN(IF($B68,X66+IF(ISNUMBER(W67),W67,0),X68/$N66),1)</f>
        <v>0.8999999999999999</v>
      </c>
      <c r="Y67" s="168">
        <f aca="true" t="shared" si="580" ref="Y67">MIN(IF($B68,Y66+IF(ISNUMBER(X67),X67,0),Y68/$N66),1)</f>
        <v>0.9999999999999999</v>
      </c>
      <c r="Z67" s="168">
        <f aca="true" t="shared" si="581" ref="Z67">MIN(IF($B68,Z66+IF(ISNUMBER(Y67),Y67,0),Z68/$N66),1)</f>
        <v>0.9999999999999999</v>
      </c>
      <c r="AA67" s="168">
        <f aca="true" t="shared" si="582" ref="AA67">MIN(IF($B68,AA66+IF(ISNUMBER(Z67),Z67,0),AA68/$N66),1)</f>
        <v>0.9999999999999999</v>
      </c>
      <c r="AB67" s="168">
        <f aca="true" t="shared" si="583" ref="AB67">MIN(IF($B68,AB66+IF(ISNUMBER(AA67),AA67,0),AB68/$N66),1)</f>
        <v>0.9999999999999999</v>
      </c>
      <c r="AC67" s="168">
        <f aca="true" t="shared" si="584" ref="AC67">MIN(IF($B68,AC66+IF(ISNUMBER(AB67),AB67,0),AC68/$N66),1)</f>
        <v>0.9999999999999999</v>
      </c>
      <c r="AD67" s="168">
        <f aca="true" t="shared" si="585" ref="AD67">MIN(IF($B68,AD66+IF(ISNUMBER(AC67),AC67,0),AD68/$N66),1)</f>
        <v>0.9999999999999999</v>
      </c>
      <c r="AE67" s="168">
        <f aca="true" t="shared" si="586" ref="AE67">MIN(IF($B68,AE66+IF(ISNUMBER(AD67),AD67,0),AE68/$N66),1)</f>
        <v>0.9999999999999999</v>
      </c>
      <c r="AF67" s="196"/>
      <c r="AK67" s="168">
        <f aca="true" t="shared" si="587" ref="AK67">MIN(IF($B68,AK66+IF(ISNUMBER(AJ67),AJ67,0),AK68/$N66),1)</f>
        <v>0</v>
      </c>
    </row>
    <row r="68" spans="1:37" ht="13.8">
      <c r="A68" s="184">
        <f ca="1">OFFSET(A68,-CFF.NumLinha,0)+1</f>
        <v>17</v>
      </c>
      <c r="B68" s="184" t="b">
        <f ca="1">$C68&gt;=OFFSET($C68,CFF.NumLinha,0)</f>
        <v>1</v>
      </c>
      <c r="C68" s="184">
        <f ca="1">INDEX(PO!A$12:A$174,MATCH($A68,PO!$V$12:$V$174,0))</f>
        <v>2</v>
      </c>
      <c r="D68" s="184">
        <f aca="true" t="shared" si="588" ref="D68">IF(ISERROR(J68),I68,SMALL(I68:J68,1))-1</f>
        <v>2</v>
      </c>
      <c r="E68" s="184">
        <f ca="1">IF($C68=1,OFFSET(E68,-CFF.NumLinha,0)+1,OFFSET(E68,-CFF.NumLinha,0))</f>
        <v>1</v>
      </c>
      <c r="F68" s="184">
        <f ca="1">IF($C68=1,0,IF($C68=2,OFFSET(F68,-CFF.NumLinha,0)+1,OFFSET(F68,-CFF.NumLinha,0)))</f>
        <v>16</v>
      </c>
      <c r="G68" s="184">
        <f ca="1">IF(AND($C68&lt;=2,$C68&lt;&gt;0),0,IF($C68=3,OFFSET(G68,-CFF.NumLinha,0)+1,OFFSET(G68,-CFF.NumLinha,0)))</f>
        <v>0</v>
      </c>
      <c r="H68" s="184">
        <f ca="1">IF(AND($C68&lt;=3,$C68&lt;&gt;0),0,IF($C68=4,OFFSET(H68,-CFF.NumLinha,0)+1,OFFSET(H68,-CFF.NumLinha,0)))</f>
        <v>0</v>
      </c>
      <c r="I68" s="184">
        <f aca="true" ca="1" t="shared" si="589" ref="I68">MATCH(0,OFFSET($D68,1,$C68,ROW($A$81)-ROW($A68)),0)</f>
        <v>13</v>
      </c>
      <c r="J68" s="184">
        <f aca="true" ca="1" t="shared" si="590" ref="J68">MATCH(OFFSET($D68,0,$C68)+1,OFFSET($D68,1,$C68,ROW($A$81)-ROW($A68)),0)</f>
        <v>3</v>
      </c>
      <c r="K68" s="185">
        <f ca="1">ROUND(INDEX(PO!T$12:T$174,MATCH($A68,PO!$V$12:$V$174,0)),2)+10^-12</f>
        <v>409918.54</v>
      </c>
      <c r="L68" s="376"/>
      <c r="M68" s="378"/>
      <c r="N68" s="380"/>
      <c r="O68" s="204" t="s">
        <v>20</v>
      </c>
      <c r="P68" s="199">
        <f aca="true" ca="1" t="shared" si="591" ref="P68:W68">IF($B68,ROUND(P67*$N66,2),ROUND(SUMIF(OFFSET($B68,1,0,$D68),TRUE,OFFSET(P68,1,0,$D68))/SUMIF(OFFSET($B68,1,0,$D68),TRUE,OFFSET($K68,1,0,$D68))*$N66,2))</f>
        <v>40991.85</v>
      </c>
      <c r="Q68" s="169">
        <f ca="1" t="shared" si="591"/>
        <v>81983.71</v>
      </c>
      <c r="R68" s="169">
        <f ca="1" t="shared" si="591"/>
        <v>122975.56</v>
      </c>
      <c r="S68" s="169">
        <f ca="1" t="shared" si="591"/>
        <v>163967.42</v>
      </c>
      <c r="T68" s="169">
        <f ca="1" t="shared" si="591"/>
        <v>204959.27</v>
      </c>
      <c r="U68" s="169">
        <f ca="1" t="shared" si="591"/>
        <v>245951.12</v>
      </c>
      <c r="V68" s="169">
        <f ca="1" t="shared" si="591"/>
        <v>286942.98</v>
      </c>
      <c r="W68" s="207">
        <f ca="1" t="shared" si="591"/>
        <v>327934.83</v>
      </c>
      <c r="X68" s="199">
        <f aca="true" ca="1" t="shared" si="592" ref="X68">IF($B68,ROUND(X67*$N66,2),ROUND(SUMIF(OFFSET($B68,1,0,$D68),TRUE,OFFSET(X68,1,0,$D68))/SUMIF(OFFSET($B68,1,0,$D68),TRUE,OFFSET($K68,1,0,$D68))*$N66,2))</f>
        <v>368926.69</v>
      </c>
      <c r="Y68" s="169">
        <f aca="true" ca="1" t="shared" si="593" ref="Y68">IF($B68,ROUND(Y67*$N66,2),ROUND(SUMIF(OFFSET($B68,1,0,$D68),TRUE,OFFSET(Y68,1,0,$D68))/SUMIF(OFFSET($B68,1,0,$D68),TRUE,OFFSET($K68,1,0,$D68))*$N66,2))</f>
        <v>409918.54</v>
      </c>
      <c r="Z68" s="169">
        <f aca="true" ca="1" t="shared" si="594" ref="Z68">IF($B68,ROUND(Z67*$N66,2),ROUND(SUMIF(OFFSET($B68,1,0,$D68),TRUE,OFFSET(Z68,1,0,$D68))/SUMIF(OFFSET($B68,1,0,$D68),TRUE,OFFSET($K68,1,0,$D68))*$N66,2))</f>
        <v>409918.54</v>
      </c>
      <c r="AA68" s="169">
        <f aca="true" ca="1" t="shared" si="595" ref="AA68">IF($B68,ROUND(AA67*$N66,2),ROUND(SUMIF(OFFSET($B68,1,0,$D68),TRUE,OFFSET(AA68,1,0,$D68))/SUMIF(OFFSET($B68,1,0,$D68),TRUE,OFFSET($K68,1,0,$D68))*$N66,2))</f>
        <v>409918.54</v>
      </c>
      <c r="AB68" s="169">
        <f aca="true" ca="1" t="shared" si="596" ref="AB68">IF($B68,ROUND(AB67*$N66,2),ROUND(SUMIF(OFFSET($B68,1,0,$D68),TRUE,OFFSET(AB68,1,0,$D68))/SUMIF(OFFSET($B68,1,0,$D68),TRUE,OFFSET($K68,1,0,$D68))*$N66,2))</f>
        <v>409918.54</v>
      </c>
      <c r="AC68" s="169">
        <f aca="true" ca="1" t="shared" si="597" ref="AC68">IF($B68,ROUND(AC67*$N66,2),ROUND(SUMIF(OFFSET($B68,1,0,$D68),TRUE,OFFSET(AC68,1,0,$D68))/SUMIF(OFFSET($B68,1,0,$D68),TRUE,OFFSET($K68,1,0,$D68))*$N66,2))</f>
        <v>409918.54</v>
      </c>
      <c r="AD68" s="169">
        <f aca="true" ca="1" t="shared" si="598" ref="AD68">IF($B68,ROUND(AD67*$N66,2),ROUND(SUMIF(OFFSET($B68,1,0,$D68),TRUE,OFFSET(AD68,1,0,$D68))/SUMIF(OFFSET($B68,1,0,$D68),TRUE,OFFSET($K68,1,0,$D68))*$N66,2))</f>
        <v>409918.54</v>
      </c>
      <c r="AE68" s="207">
        <f aca="true" ca="1" t="shared" si="599" ref="AE68">IF($B68,ROUND(AE67*$N66,2),ROUND(SUMIF(OFFSET($B68,1,0,$D68),TRUE,OFFSET(AE68,1,0,$D68))/SUMIF(OFFSET($B68,1,0,$D68),TRUE,OFFSET($K68,1,0,$D68))*$N66,2))</f>
        <v>409918.54</v>
      </c>
      <c r="AF68" s="196"/>
      <c r="AK68" s="169">
        <f aca="true" ca="1" t="shared" si="600" ref="AK68">IF($B68,ROUND(AK67*$N66,2),ROUND(SUMIF(OFFSET($B68,1,0,$D68),TRUE,OFFSET(AK68,1,0,$D68))/SUMIF(OFFSET($B68,1,0,$D68),TRUE,OFFSET($K68,1,0,$D68))*$N66,2))</f>
        <v>0</v>
      </c>
    </row>
    <row r="69" spans="1:37" ht="14.25" customHeight="1">
      <c r="A69" s="82"/>
      <c r="B69" s="82"/>
      <c r="C69" s="82"/>
      <c r="D69" s="82"/>
      <c r="E69" s="82"/>
      <c r="F69" s="82"/>
      <c r="G69" s="82"/>
      <c r="H69" s="82"/>
      <c r="I69" s="82"/>
      <c r="J69" s="82"/>
      <c r="K69" s="82"/>
      <c r="L69" s="375" t="str">
        <f ca="1">INDEX(PO!K$12:K$174,MATCH($A71,PO!$V$12:$V$174,0))</f>
        <v>1.17.</v>
      </c>
      <c r="M69" s="377" t="str">
        <f ca="1">INDEX(PO!N$12:N$174,MATCH($A71,PO!$V$12:$V$174,0))</f>
        <v xml:space="preserve">Instalação Hidráulica </v>
      </c>
      <c r="N69" s="379">
        <f aca="true" t="shared" si="601" ref="N69">IF(ROUND(K71,2)=0,K71,ROUND(K71,2))</f>
        <v>41755.87</v>
      </c>
      <c r="O69" s="220" t="s">
        <v>142</v>
      </c>
      <c r="P69" s="225">
        <v>0.1</v>
      </c>
      <c r="Q69" s="226">
        <v>0.1</v>
      </c>
      <c r="R69" s="226">
        <v>0.1</v>
      </c>
      <c r="S69" s="226">
        <v>0.1</v>
      </c>
      <c r="T69" s="226">
        <v>0.1</v>
      </c>
      <c r="U69" s="226">
        <v>0.1</v>
      </c>
      <c r="V69" s="226">
        <v>0.1</v>
      </c>
      <c r="W69" s="227">
        <v>0.1</v>
      </c>
      <c r="X69" s="225">
        <v>0.1</v>
      </c>
      <c r="Y69" s="226">
        <v>0.1</v>
      </c>
      <c r="Z69" s="226">
        <f aca="true" t="shared" si="602" ref="Z69">IF($B71,0,Z70-IF(ISNUMBER(Y70),Y70,0))</f>
        <v>0</v>
      </c>
      <c r="AA69" s="226">
        <f aca="true" t="shared" si="603" ref="AA69">IF($B71,0,AA70-IF(ISNUMBER(Z70),Z70,0))</f>
        <v>0</v>
      </c>
      <c r="AB69" s="226">
        <f aca="true" t="shared" si="604" ref="AB69">IF($B71,0,AB70-IF(ISNUMBER(AA70),AA70,0))</f>
        <v>0</v>
      </c>
      <c r="AC69" s="226">
        <f aca="true" t="shared" si="605" ref="AC69">IF($B71,0,AC70-IF(ISNUMBER(AB70),AB70,0))</f>
        <v>0</v>
      </c>
      <c r="AD69" s="226">
        <f aca="true" t="shared" si="606" ref="AD69">IF($B71,0,AD70-IF(ISNUMBER(AC70),AC70,0))</f>
        <v>0</v>
      </c>
      <c r="AE69" s="227">
        <f aca="true" t="shared" si="607" ref="AE69">IF($B71,0,AE70-IF(ISNUMBER(AD70),AD70,0))</f>
        <v>0</v>
      </c>
      <c r="AF69" s="196"/>
      <c r="AK69" s="221">
        <f aca="true" t="shared" si="608" ref="AK69">IF($B71,0,AK70-IF(ISNUMBER(AJ70),AJ70,0))</f>
        <v>0</v>
      </c>
    </row>
    <row r="70" spans="1:37" ht="13.8">
      <c r="A70" s="184"/>
      <c r="B70" s="184"/>
      <c r="C70" s="184"/>
      <c r="D70" s="184"/>
      <c r="E70" s="184"/>
      <c r="F70" s="184"/>
      <c r="G70" s="184"/>
      <c r="H70" s="184"/>
      <c r="I70" s="184"/>
      <c r="J70" s="184"/>
      <c r="K70" s="184"/>
      <c r="L70" s="376"/>
      <c r="M70" s="378"/>
      <c r="N70" s="380"/>
      <c r="O70" s="170" t="s">
        <v>144</v>
      </c>
      <c r="P70" s="198">
        <f aca="true" t="shared" si="609" ref="P70">MIN(IF($B71,P69+IF(ISNUMBER(O70),O70,0),P71/$N69),1)</f>
        <v>0.1</v>
      </c>
      <c r="Q70" s="168">
        <f aca="true" t="shared" si="610" ref="Q70">MIN(IF($B71,Q69+IF(ISNUMBER(P70),P70,0),Q71/$N69),1)</f>
        <v>0.2</v>
      </c>
      <c r="R70" s="168">
        <f aca="true" t="shared" si="611" ref="R70">MIN(IF($B71,R69+IF(ISNUMBER(Q70),Q70,0),R71/$N69),1)</f>
        <v>0.30000000000000004</v>
      </c>
      <c r="S70" s="168">
        <f aca="true" t="shared" si="612" ref="S70">MIN(IF($B71,S69+IF(ISNUMBER(R70),R70,0),S71/$N69),1)</f>
        <v>0.4</v>
      </c>
      <c r="T70" s="168">
        <f aca="true" t="shared" si="613" ref="T70">MIN(IF($B71,T69+IF(ISNUMBER(S70),S70,0),T71/$N69),1)</f>
        <v>0.5</v>
      </c>
      <c r="U70" s="168">
        <f aca="true" t="shared" si="614" ref="U70">MIN(IF($B71,U69+IF(ISNUMBER(T70),T70,0),U71/$N69),1)</f>
        <v>0.6</v>
      </c>
      <c r="V70" s="168">
        <f aca="true" t="shared" si="615" ref="V70">MIN(IF($B71,V69+IF(ISNUMBER(U70),U70,0),V71/$N69),1)</f>
        <v>0.7</v>
      </c>
      <c r="W70" s="168">
        <f aca="true" t="shared" si="616" ref="W70">MIN(IF($B71,W69+IF(ISNUMBER(V70),V70,0),W71/$N69),1)</f>
        <v>0.7999999999999999</v>
      </c>
      <c r="X70" s="198">
        <f aca="true" t="shared" si="617" ref="X70">MIN(IF($B71,X69+IF(ISNUMBER(W70),W70,0),X71/$N69),1)</f>
        <v>0.8999999999999999</v>
      </c>
      <c r="Y70" s="168">
        <f aca="true" t="shared" si="618" ref="Y70">MIN(IF($B71,Y69+IF(ISNUMBER(X70),X70,0),Y71/$N69),1)</f>
        <v>0.9999999999999999</v>
      </c>
      <c r="Z70" s="168">
        <f aca="true" t="shared" si="619" ref="Z70">MIN(IF($B71,Z69+IF(ISNUMBER(Y70),Y70,0),Z71/$N69),1)</f>
        <v>0.9999999999999999</v>
      </c>
      <c r="AA70" s="168">
        <f aca="true" t="shared" si="620" ref="AA70">MIN(IF($B71,AA69+IF(ISNUMBER(Z70),Z70,0),AA71/$N69),1)</f>
        <v>0.9999999999999999</v>
      </c>
      <c r="AB70" s="168">
        <f aca="true" t="shared" si="621" ref="AB70">MIN(IF($B71,AB69+IF(ISNUMBER(AA70),AA70,0),AB71/$N69),1)</f>
        <v>0.9999999999999999</v>
      </c>
      <c r="AC70" s="168">
        <f aca="true" t="shared" si="622" ref="AC70">MIN(IF($B71,AC69+IF(ISNUMBER(AB70),AB70,0),AC71/$N69),1)</f>
        <v>0.9999999999999999</v>
      </c>
      <c r="AD70" s="168">
        <f aca="true" t="shared" si="623" ref="AD70">MIN(IF($B71,AD69+IF(ISNUMBER(AC70),AC70,0),AD71/$N69),1)</f>
        <v>0.9999999999999999</v>
      </c>
      <c r="AE70" s="168">
        <f aca="true" t="shared" si="624" ref="AE70">MIN(IF($B71,AE69+IF(ISNUMBER(AD70),AD70,0),AE71/$N69),1)</f>
        <v>0.9999999999999999</v>
      </c>
      <c r="AF70" s="196"/>
      <c r="AK70" s="168">
        <f aca="true" t="shared" si="625" ref="AK70">MIN(IF($B71,AK69+IF(ISNUMBER(AJ70),AJ70,0),AK71/$N69),1)</f>
        <v>0</v>
      </c>
    </row>
    <row r="71" spans="1:37" ht="13.8">
      <c r="A71" s="184">
        <f ca="1">OFFSET(A71,-CFF.NumLinha,0)+1</f>
        <v>18</v>
      </c>
      <c r="B71" s="184" t="b">
        <f ca="1">$C71&gt;=OFFSET($C71,CFF.NumLinha,0)</f>
        <v>1</v>
      </c>
      <c r="C71" s="184">
        <f ca="1">INDEX(PO!A$12:A$174,MATCH($A71,PO!$V$12:$V$174,0))</f>
        <v>2</v>
      </c>
      <c r="D71" s="184">
        <f aca="true" t="shared" si="626" ref="D71">IF(ISERROR(J71),I71,SMALL(I71:J71,1))-1</f>
        <v>2</v>
      </c>
      <c r="E71" s="184">
        <f ca="1">IF($C71=1,OFFSET(E71,-CFF.NumLinha,0)+1,OFFSET(E71,-CFF.NumLinha,0))</f>
        <v>1</v>
      </c>
      <c r="F71" s="184">
        <f ca="1">IF($C71=1,0,IF($C71=2,OFFSET(F71,-CFF.NumLinha,0)+1,OFFSET(F71,-CFF.NumLinha,0)))</f>
        <v>17</v>
      </c>
      <c r="G71" s="184">
        <f ca="1">IF(AND($C71&lt;=2,$C71&lt;&gt;0),0,IF($C71=3,OFFSET(G71,-CFF.NumLinha,0)+1,OFFSET(G71,-CFF.NumLinha,0)))</f>
        <v>0</v>
      </c>
      <c r="H71" s="184">
        <f ca="1">IF(AND($C71&lt;=3,$C71&lt;&gt;0),0,IF($C71=4,OFFSET(H71,-CFF.NumLinha,0)+1,OFFSET(H71,-CFF.NumLinha,0)))</f>
        <v>0</v>
      </c>
      <c r="I71" s="184">
        <f aca="true" ca="1" t="shared" si="627" ref="I71">MATCH(0,OFFSET($D71,1,$C71,ROW($A$81)-ROW($A71)),0)</f>
        <v>10</v>
      </c>
      <c r="J71" s="184">
        <f aca="true" ca="1" t="shared" si="628" ref="J71">MATCH(OFFSET($D71,0,$C71)+1,OFFSET($D71,1,$C71,ROW($A$81)-ROW($A71)),0)</f>
        <v>3</v>
      </c>
      <c r="K71" s="185">
        <f ca="1">ROUND(INDEX(PO!T$12:T$174,MATCH($A71,PO!$V$12:$V$174,0)),2)+10^-12</f>
        <v>41755.87</v>
      </c>
      <c r="L71" s="376"/>
      <c r="M71" s="378"/>
      <c r="N71" s="380"/>
      <c r="O71" s="204" t="s">
        <v>20</v>
      </c>
      <c r="P71" s="199">
        <f aca="true" ca="1" t="shared" si="629" ref="P71:W71">IF($B71,ROUND(P70*$N69,2),ROUND(SUMIF(OFFSET($B71,1,0,$D71),TRUE,OFFSET(P71,1,0,$D71))/SUMIF(OFFSET($B71,1,0,$D71),TRUE,OFFSET($K71,1,0,$D71))*$N69,2))</f>
        <v>4175.59</v>
      </c>
      <c r="Q71" s="169">
        <f ca="1" t="shared" si="629"/>
        <v>8351.17</v>
      </c>
      <c r="R71" s="169">
        <f ca="1" t="shared" si="629"/>
        <v>12526.76</v>
      </c>
      <c r="S71" s="169">
        <f ca="1" t="shared" si="629"/>
        <v>16702.35</v>
      </c>
      <c r="T71" s="169">
        <f ca="1" t="shared" si="629"/>
        <v>20877.94</v>
      </c>
      <c r="U71" s="169">
        <f ca="1" t="shared" si="629"/>
        <v>25053.52</v>
      </c>
      <c r="V71" s="169">
        <f ca="1" t="shared" si="629"/>
        <v>29229.11</v>
      </c>
      <c r="W71" s="207">
        <f ca="1" t="shared" si="629"/>
        <v>33404.7</v>
      </c>
      <c r="X71" s="199">
        <f aca="true" ca="1" t="shared" si="630" ref="X71">IF($B71,ROUND(X70*$N69,2),ROUND(SUMIF(OFFSET($B71,1,0,$D71),TRUE,OFFSET(X71,1,0,$D71))/SUMIF(OFFSET($B71,1,0,$D71),TRUE,OFFSET($K71,1,0,$D71))*$N69,2))</f>
        <v>37580.28</v>
      </c>
      <c r="Y71" s="169">
        <f aca="true" ca="1" t="shared" si="631" ref="Y71">IF($B71,ROUND(Y70*$N69,2),ROUND(SUMIF(OFFSET($B71,1,0,$D71),TRUE,OFFSET(Y71,1,0,$D71))/SUMIF(OFFSET($B71,1,0,$D71),TRUE,OFFSET($K71,1,0,$D71))*$N69,2))</f>
        <v>41755.87</v>
      </c>
      <c r="Z71" s="169">
        <f aca="true" ca="1" t="shared" si="632" ref="Z71">IF($B71,ROUND(Z70*$N69,2),ROUND(SUMIF(OFFSET($B71,1,0,$D71),TRUE,OFFSET(Z71,1,0,$D71))/SUMIF(OFFSET($B71,1,0,$D71),TRUE,OFFSET($K71,1,0,$D71))*$N69,2))</f>
        <v>41755.87</v>
      </c>
      <c r="AA71" s="169">
        <f aca="true" ca="1" t="shared" si="633" ref="AA71">IF($B71,ROUND(AA70*$N69,2),ROUND(SUMIF(OFFSET($B71,1,0,$D71),TRUE,OFFSET(AA71,1,0,$D71))/SUMIF(OFFSET($B71,1,0,$D71),TRUE,OFFSET($K71,1,0,$D71))*$N69,2))</f>
        <v>41755.87</v>
      </c>
      <c r="AB71" s="169">
        <f aca="true" ca="1" t="shared" si="634" ref="AB71">IF($B71,ROUND(AB70*$N69,2),ROUND(SUMIF(OFFSET($B71,1,0,$D71),TRUE,OFFSET(AB71,1,0,$D71))/SUMIF(OFFSET($B71,1,0,$D71),TRUE,OFFSET($K71,1,0,$D71))*$N69,2))</f>
        <v>41755.87</v>
      </c>
      <c r="AC71" s="169">
        <f aca="true" ca="1" t="shared" si="635" ref="AC71">IF($B71,ROUND(AC70*$N69,2),ROUND(SUMIF(OFFSET($B71,1,0,$D71),TRUE,OFFSET(AC71,1,0,$D71))/SUMIF(OFFSET($B71,1,0,$D71),TRUE,OFFSET($K71,1,0,$D71))*$N69,2))</f>
        <v>41755.87</v>
      </c>
      <c r="AD71" s="169">
        <f aca="true" ca="1" t="shared" si="636" ref="AD71">IF($B71,ROUND(AD70*$N69,2),ROUND(SUMIF(OFFSET($B71,1,0,$D71),TRUE,OFFSET(AD71,1,0,$D71))/SUMIF(OFFSET($B71,1,0,$D71),TRUE,OFFSET($K71,1,0,$D71))*$N69,2))</f>
        <v>41755.87</v>
      </c>
      <c r="AE71" s="207">
        <f aca="true" ca="1" t="shared" si="637" ref="AE71">IF($B71,ROUND(AE70*$N69,2),ROUND(SUMIF(OFFSET($B71,1,0,$D71),TRUE,OFFSET(AE71,1,0,$D71))/SUMIF(OFFSET($B71,1,0,$D71),TRUE,OFFSET($K71,1,0,$D71))*$N69,2))</f>
        <v>41755.87</v>
      </c>
      <c r="AF71" s="196"/>
      <c r="AK71" s="169">
        <f aca="true" ca="1" t="shared" si="638" ref="AK71">IF($B71,ROUND(AK70*$N69,2),ROUND(SUMIF(OFFSET($B71,1,0,$D71),TRUE,OFFSET(AK71,1,0,$D71))/SUMIF(OFFSET($B71,1,0,$D71),TRUE,OFFSET($K71,1,0,$D71))*$N69,2))</f>
        <v>0</v>
      </c>
    </row>
    <row r="72" spans="1:37" ht="14.25" customHeight="1">
      <c r="A72" s="82"/>
      <c r="B72" s="82"/>
      <c r="C72" s="82"/>
      <c r="D72" s="82"/>
      <c r="E72" s="82"/>
      <c r="F72" s="82"/>
      <c r="G72" s="82"/>
      <c r="H72" s="82"/>
      <c r="I72" s="82"/>
      <c r="J72" s="82"/>
      <c r="K72" s="82"/>
      <c r="L72" s="375" t="str">
        <f ca="1">INDEX(PO!K$12:K$174,MATCH($A74,PO!$V$12:$V$174,0))</f>
        <v>1.18.</v>
      </c>
      <c r="M72" s="377" t="str">
        <f ca="1">INDEX(PO!N$12:N$174,MATCH($A74,PO!$V$12:$V$174,0))</f>
        <v xml:space="preserve">Instalação Sanitária </v>
      </c>
      <c r="N72" s="379">
        <f aca="true" t="shared" si="639" ref="N72">IF(ROUND(K74,2)=0,K74,ROUND(K74,2))</f>
        <v>137168.73</v>
      </c>
      <c r="O72" s="220" t="s">
        <v>142</v>
      </c>
      <c r="P72" s="225">
        <v>0.1</v>
      </c>
      <c r="Q72" s="226">
        <v>0.1</v>
      </c>
      <c r="R72" s="226">
        <v>0.1</v>
      </c>
      <c r="S72" s="226">
        <v>0.1</v>
      </c>
      <c r="T72" s="226">
        <v>0.1</v>
      </c>
      <c r="U72" s="226">
        <v>0.1</v>
      </c>
      <c r="V72" s="226">
        <v>0.1</v>
      </c>
      <c r="W72" s="227">
        <v>0.1</v>
      </c>
      <c r="X72" s="225">
        <v>0.1</v>
      </c>
      <c r="Y72" s="226">
        <v>0.1</v>
      </c>
      <c r="Z72" s="226">
        <f aca="true" t="shared" si="640" ref="Z72">IF($B74,0,Z73-IF(ISNUMBER(Y73),Y73,0))</f>
        <v>0</v>
      </c>
      <c r="AA72" s="226">
        <f aca="true" t="shared" si="641" ref="AA72">IF($B74,0,AA73-IF(ISNUMBER(Z73),Z73,0))</f>
        <v>0</v>
      </c>
      <c r="AB72" s="226">
        <f aca="true" t="shared" si="642" ref="AB72">IF($B74,0,AB73-IF(ISNUMBER(AA73),AA73,0))</f>
        <v>0</v>
      </c>
      <c r="AC72" s="226">
        <f aca="true" t="shared" si="643" ref="AC72">IF($B74,0,AC73-IF(ISNUMBER(AB73),AB73,0))</f>
        <v>0</v>
      </c>
      <c r="AD72" s="226">
        <f aca="true" t="shared" si="644" ref="AD72">IF($B74,0,AD73-IF(ISNUMBER(AC73),AC73,0))</f>
        <v>0</v>
      </c>
      <c r="AE72" s="227">
        <f aca="true" t="shared" si="645" ref="AE72">IF($B74,0,AE73-IF(ISNUMBER(AD73),AD73,0))</f>
        <v>0</v>
      </c>
      <c r="AF72" s="196"/>
      <c r="AK72" s="221">
        <f aca="true" t="shared" si="646" ref="AK72">IF($B74,0,AK73-IF(ISNUMBER(AJ73),AJ73,0))</f>
        <v>0</v>
      </c>
    </row>
    <row r="73" spans="1:37" ht="13.8">
      <c r="A73" s="184"/>
      <c r="B73" s="184"/>
      <c r="C73" s="184"/>
      <c r="D73" s="184"/>
      <c r="E73" s="184"/>
      <c r="F73" s="184"/>
      <c r="G73" s="184"/>
      <c r="H73" s="184"/>
      <c r="I73" s="184"/>
      <c r="J73" s="184"/>
      <c r="K73" s="184"/>
      <c r="L73" s="376"/>
      <c r="M73" s="378"/>
      <c r="N73" s="380"/>
      <c r="O73" s="170" t="s">
        <v>144</v>
      </c>
      <c r="P73" s="198">
        <f aca="true" t="shared" si="647" ref="P73">MIN(IF($B74,P72+IF(ISNUMBER(O73),O73,0),P74/$N72),1)</f>
        <v>0.1</v>
      </c>
      <c r="Q73" s="168">
        <f aca="true" t="shared" si="648" ref="Q73">MIN(IF($B74,Q72+IF(ISNUMBER(P73),P73,0),Q74/$N72),1)</f>
        <v>0.2</v>
      </c>
      <c r="R73" s="168">
        <f aca="true" t="shared" si="649" ref="R73">MIN(IF($B74,R72+IF(ISNUMBER(Q73),Q73,0),R74/$N72),1)</f>
        <v>0.30000000000000004</v>
      </c>
      <c r="S73" s="168">
        <f aca="true" t="shared" si="650" ref="S73">MIN(IF($B74,S72+IF(ISNUMBER(R73),R73,0),S74/$N72),1)</f>
        <v>0.4</v>
      </c>
      <c r="T73" s="168">
        <f aca="true" t="shared" si="651" ref="T73">MIN(IF($B74,T72+IF(ISNUMBER(S73),S73,0),T74/$N72),1)</f>
        <v>0.5</v>
      </c>
      <c r="U73" s="168">
        <f aca="true" t="shared" si="652" ref="U73">MIN(IF($B74,U72+IF(ISNUMBER(T73),T73,0),U74/$N72),1)</f>
        <v>0.6</v>
      </c>
      <c r="V73" s="168">
        <f aca="true" t="shared" si="653" ref="V73">MIN(IF($B74,V72+IF(ISNUMBER(U73),U73,0),V74/$N72),1)</f>
        <v>0.7</v>
      </c>
      <c r="W73" s="168">
        <f aca="true" t="shared" si="654" ref="W73">MIN(IF($B74,W72+IF(ISNUMBER(V73),V73,0),W74/$N72),1)</f>
        <v>0.7999999999999999</v>
      </c>
      <c r="X73" s="198">
        <f aca="true" t="shared" si="655" ref="X73">MIN(IF($B74,X72+IF(ISNUMBER(W73),W73,0),X74/$N72),1)</f>
        <v>0.8999999999999999</v>
      </c>
      <c r="Y73" s="168">
        <f aca="true" t="shared" si="656" ref="Y73">MIN(IF($B74,Y72+IF(ISNUMBER(X73),X73,0),Y74/$N72),1)</f>
        <v>0.9999999999999999</v>
      </c>
      <c r="Z73" s="168">
        <f aca="true" t="shared" si="657" ref="Z73">MIN(IF($B74,Z72+IF(ISNUMBER(Y73),Y73,0),Z74/$N72),1)</f>
        <v>0.9999999999999999</v>
      </c>
      <c r="AA73" s="168">
        <f aca="true" t="shared" si="658" ref="AA73">MIN(IF($B74,AA72+IF(ISNUMBER(Z73),Z73,0),AA74/$N72),1)</f>
        <v>0.9999999999999999</v>
      </c>
      <c r="AB73" s="168">
        <f aca="true" t="shared" si="659" ref="AB73">MIN(IF($B74,AB72+IF(ISNUMBER(AA73),AA73,0),AB74/$N72),1)</f>
        <v>0.9999999999999999</v>
      </c>
      <c r="AC73" s="168">
        <f aca="true" t="shared" si="660" ref="AC73">MIN(IF($B74,AC72+IF(ISNUMBER(AB73),AB73,0),AC74/$N72),1)</f>
        <v>0.9999999999999999</v>
      </c>
      <c r="AD73" s="168">
        <f aca="true" t="shared" si="661" ref="AD73">MIN(IF($B74,AD72+IF(ISNUMBER(AC73),AC73,0),AD74/$N72),1)</f>
        <v>0.9999999999999999</v>
      </c>
      <c r="AE73" s="168">
        <f aca="true" t="shared" si="662" ref="AE73">MIN(IF($B74,AE72+IF(ISNUMBER(AD73),AD73,0),AE74/$N72),1)</f>
        <v>0.9999999999999999</v>
      </c>
      <c r="AF73" s="196"/>
      <c r="AK73" s="168">
        <f aca="true" t="shared" si="663" ref="AK73">MIN(IF($B74,AK72+IF(ISNUMBER(AJ73),AJ73,0),AK74/$N72),1)</f>
        <v>0</v>
      </c>
    </row>
    <row r="74" spans="1:37" ht="13.8">
      <c r="A74" s="184">
        <f ca="1">OFFSET(A74,-CFF.NumLinha,0)+1</f>
        <v>19</v>
      </c>
      <c r="B74" s="184" t="b">
        <f ca="1">$C74&gt;=OFFSET($C74,CFF.NumLinha,0)</f>
        <v>1</v>
      </c>
      <c r="C74" s="184">
        <f ca="1">INDEX(PO!A$12:A$174,MATCH($A74,PO!$V$12:$V$174,0))</f>
        <v>2</v>
      </c>
      <c r="D74" s="184">
        <f aca="true" t="shared" si="664" ref="D74">IF(ISERROR(J74),I74,SMALL(I74:J74,1))-1</f>
        <v>2</v>
      </c>
      <c r="E74" s="184">
        <f ca="1">IF($C74=1,OFFSET(E74,-CFF.NumLinha,0)+1,OFFSET(E74,-CFF.NumLinha,0))</f>
        <v>1</v>
      </c>
      <c r="F74" s="184">
        <f ca="1">IF($C74=1,0,IF($C74=2,OFFSET(F74,-CFF.NumLinha,0)+1,OFFSET(F74,-CFF.NumLinha,0)))</f>
        <v>18</v>
      </c>
      <c r="G74" s="184">
        <f ca="1">IF(AND($C74&lt;=2,$C74&lt;&gt;0),0,IF($C74=3,OFFSET(G74,-CFF.NumLinha,0)+1,OFFSET(G74,-CFF.NumLinha,0)))</f>
        <v>0</v>
      </c>
      <c r="H74" s="184">
        <f ca="1">IF(AND($C74&lt;=3,$C74&lt;&gt;0),0,IF($C74=4,OFFSET(H74,-CFF.NumLinha,0)+1,OFFSET(H74,-CFF.NumLinha,0)))</f>
        <v>0</v>
      </c>
      <c r="I74" s="184">
        <f aca="true" ca="1" t="shared" si="665" ref="I74">MATCH(0,OFFSET($D74,1,$C74,ROW($A$81)-ROW($A74)),0)</f>
        <v>7</v>
      </c>
      <c r="J74" s="184">
        <f aca="true" ca="1" t="shared" si="666" ref="J74">MATCH(OFFSET($D74,0,$C74)+1,OFFSET($D74,1,$C74,ROW($A$81)-ROW($A74)),0)</f>
        <v>3</v>
      </c>
      <c r="K74" s="185">
        <f ca="1">ROUND(INDEX(PO!T$12:T$174,MATCH($A74,PO!$V$12:$V$174,0)),2)+10^-12</f>
        <v>137168.73</v>
      </c>
      <c r="L74" s="376"/>
      <c r="M74" s="378"/>
      <c r="N74" s="380"/>
      <c r="O74" s="204" t="s">
        <v>20</v>
      </c>
      <c r="P74" s="199">
        <f aca="true" ca="1" t="shared" si="667" ref="P74:W74">IF($B74,ROUND(P73*$N72,2),ROUND(SUMIF(OFFSET($B74,1,0,$D74),TRUE,OFFSET(P74,1,0,$D74))/SUMIF(OFFSET($B74,1,0,$D74),TRUE,OFFSET($K74,1,0,$D74))*$N72,2))</f>
        <v>13716.87</v>
      </c>
      <c r="Q74" s="169">
        <f ca="1" t="shared" si="667"/>
        <v>27433.75</v>
      </c>
      <c r="R74" s="169">
        <f ca="1" t="shared" si="667"/>
        <v>41150.62</v>
      </c>
      <c r="S74" s="169">
        <f ca="1" t="shared" si="667"/>
        <v>54867.49</v>
      </c>
      <c r="T74" s="169">
        <f ca="1" t="shared" si="667"/>
        <v>68584.37</v>
      </c>
      <c r="U74" s="169">
        <f ca="1" t="shared" si="667"/>
        <v>82301.24</v>
      </c>
      <c r="V74" s="169">
        <f ca="1" t="shared" si="667"/>
        <v>96018.11</v>
      </c>
      <c r="W74" s="207">
        <f ca="1" t="shared" si="667"/>
        <v>109734.98</v>
      </c>
      <c r="X74" s="199">
        <f aca="true" ca="1" t="shared" si="668" ref="X74">IF($B74,ROUND(X73*$N72,2),ROUND(SUMIF(OFFSET($B74,1,0,$D74),TRUE,OFFSET(X74,1,0,$D74))/SUMIF(OFFSET($B74,1,0,$D74),TRUE,OFFSET($K74,1,0,$D74))*$N72,2))</f>
        <v>123451.86</v>
      </c>
      <c r="Y74" s="169">
        <f aca="true" ca="1" t="shared" si="669" ref="Y74">IF($B74,ROUND(Y73*$N72,2),ROUND(SUMIF(OFFSET($B74,1,0,$D74),TRUE,OFFSET(Y74,1,0,$D74))/SUMIF(OFFSET($B74,1,0,$D74),TRUE,OFFSET($K74,1,0,$D74))*$N72,2))</f>
        <v>137168.73</v>
      </c>
      <c r="Z74" s="169">
        <f aca="true" ca="1" t="shared" si="670" ref="Z74">IF($B74,ROUND(Z73*$N72,2),ROUND(SUMIF(OFFSET($B74,1,0,$D74),TRUE,OFFSET(Z74,1,0,$D74))/SUMIF(OFFSET($B74,1,0,$D74),TRUE,OFFSET($K74,1,0,$D74))*$N72,2))</f>
        <v>137168.73</v>
      </c>
      <c r="AA74" s="169">
        <f aca="true" ca="1" t="shared" si="671" ref="AA74">IF($B74,ROUND(AA73*$N72,2),ROUND(SUMIF(OFFSET($B74,1,0,$D74),TRUE,OFFSET(AA74,1,0,$D74))/SUMIF(OFFSET($B74,1,0,$D74),TRUE,OFFSET($K74,1,0,$D74))*$N72,2))</f>
        <v>137168.73</v>
      </c>
      <c r="AB74" s="169">
        <f aca="true" ca="1" t="shared" si="672" ref="AB74">IF($B74,ROUND(AB73*$N72,2),ROUND(SUMIF(OFFSET($B74,1,0,$D74),TRUE,OFFSET(AB74,1,0,$D74))/SUMIF(OFFSET($B74,1,0,$D74),TRUE,OFFSET($K74,1,0,$D74))*$N72,2))</f>
        <v>137168.73</v>
      </c>
      <c r="AC74" s="169">
        <f aca="true" ca="1" t="shared" si="673" ref="AC74">IF($B74,ROUND(AC73*$N72,2),ROUND(SUMIF(OFFSET($B74,1,0,$D74),TRUE,OFFSET(AC74,1,0,$D74))/SUMIF(OFFSET($B74,1,0,$D74),TRUE,OFFSET($K74,1,0,$D74))*$N72,2))</f>
        <v>137168.73</v>
      </c>
      <c r="AD74" s="169">
        <f aca="true" ca="1" t="shared" si="674" ref="AD74">IF($B74,ROUND(AD73*$N72,2),ROUND(SUMIF(OFFSET($B74,1,0,$D74),TRUE,OFFSET(AD74,1,0,$D74))/SUMIF(OFFSET($B74,1,0,$D74),TRUE,OFFSET($K74,1,0,$D74))*$N72,2))</f>
        <v>137168.73</v>
      </c>
      <c r="AE74" s="207">
        <f aca="true" ca="1" t="shared" si="675" ref="AE74">IF($B74,ROUND(AE73*$N72,2),ROUND(SUMIF(OFFSET($B74,1,0,$D74),TRUE,OFFSET(AE74,1,0,$D74))/SUMIF(OFFSET($B74,1,0,$D74),TRUE,OFFSET($K74,1,0,$D74))*$N72,2))</f>
        <v>137168.73</v>
      </c>
      <c r="AF74" s="196"/>
      <c r="AK74" s="169">
        <f aca="true" ca="1" t="shared" si="676" ref="AK74">IF($B74,ROUND(AK73*$N72,2),ROUND(SUMIF(OFFSET($B74,1,0,$D74),TRUE,OFFSET(AK74,1,0,$D74))/SUMIF(OFFSET($B74,1,0,$D74),TRUE,OFFSET($K74,1,0,$D74))*$N72,2))</f>
        <v>0</v>
      </c>
    </row>
    <row r="75" spans="1:37" ht="14.25" customHeight="1">
      <c r="A75" s="82"/>
      <c r="B75" s="82"/>
      <c r="C75" s="82"/>
      <c r="D75" s="82"/>
      <c r="E75" s="82"/>
      <c r="F75" s="82"/>
      <c r="G75" s="82"/>
      <c r="H75" s="82"/>
      <c r="I75" s="82"/>
      <c r="J75" s="82"/>
      <c r="K75" s="82"/>
      <c r="L75" s="375" t="str">
        <f ca="1">INDEX(PO!K$12:K$174,MATCH($A77,PO!$V$12:$V$174,0))</f>
        <v>1.19.</v>
      </c>
      <c r="M75" s="377" t="str">
        <f ca="1">INDEX(PO!N$12:N$174,MATCH($A77,PO!$V$12:$V$174,0))</f>
        <v xml:space="preserve">Louças e Acessórios </v>
      </c>
      <c r="N75" s="379">
        <f aca="true" t="shared" si="677" ref="N75">IF(ROUND(K77,2)=0,K77,ROUND(K77,2))</f>
        <v>65855.01</v>
      </c>
      <c r="O75" s="220" t="s">
        <v>142</v>
      </c>
      <c r="P75" s="225">
        <v>0.1</v>
      </c>
      <c r="Q75" s="226">
        <v>0.1</v>
      </c>
      <c r="R75" s="226">
        <v>0.1</v>
      </c>
      <c r="S75" s="226">
        <v>0.1</v>
      </c>
      <c r="T75" s="226">
        <v>0.1</v>
      </c>
      <c r="U75" s="226">
        <v>0.1</v>
      </c>
      <c r="V75" s="226">
        <v>0.1</v>
      </c>
      <c r="W75" s="227">
        <v>0.1</v>
      </c>
      <c r="X75" s="225">
        <v>0.1</v>
      </c>
      <c r="Y75" s="226">
        <v>0.1</v>
      </c>
      <c r="Z75" s="226">
        <f aca="true" t="shared" si="678" ref="Z75">IF($B77,0,Z76-IF(ISNUMBER(Y76),Y76,0))</f>
        <v>0</v>
      </c>
      <c r="AA75" s="226">
        <f aca="true" t="shared" si="679" ref="AA75">IF($B77,0,AA76-IF(ISNUMBER(Z76),Z76,0))</f>
        <v>0</v>
      </c>
      <c r="AB75" s="226">
        <f aca="true" t="shared" si="680" ref="AB75">IF($B77,0,AB76-IF(ISNUMBER(AA76),AA76,0))</f>
        <v>0</v>
      </c>
      <c r="AC75" s="226">
        <f aca="true" t="shared" si="681" ref="AC75">IF($B77,0,AC76-IF(ISNUMBER(AB76),AB76,0))</f>
        <v>0</v>
      </c>
      <c r="AD75" s="226">
        <f aca="true" t="shared" si="682" ref="AD75">IF($B77,0,AD76-IF(ISNUMBER(AC76),AC76,0))</f>
        <v>0</v>
      </c>
      <c r="AE75" s="227">
        <f aca="true" t="shared" si="683" ref="AE75">IF($B77,0,AE76-IF(ISNUMBER(AD76),AD76,0))</f>
        <v>0</v>
      </c>
      <c r="AF75" s="196"/>
      <c r="AK75" s="221">
        <f aca="true" t="shared" si="684" ref="AK75">IF($B77,0,AK76-IF(ISNUMBER(AJ76),AJ76,0))</f>
        <v>0</v>
      </c>
    </row>
    <row r="76" spans="1:37" ht="13.8">
      <c r="A76" s="184"/>
      <c r="B76" s="184"/>
      <c r="C76" s="184"/>
      <c r="D76" s="184"/>
      <c r="E76" s="184"/>
      <c r="F76" s="184"/>
      <c r="G76" s="184"/>
      <c r="H76" s="184"/>
      <c r="I76" s="184"/>
      <c r="J76" s="184"/>
      <c r="K76" s="184"/>
      <c r="L76" s="376"/>
      <c r="M76" s="378"/>
      <c r="N76" s="380"/>
      <c r="O76" s="170" t="s">
        <v>144</v>
      </c>
      <c r="P76" s="198">
        <f aca="true" t="shared" si="685" ref="P76">MIN(IF($B77,P75+IF(ISNUMBER(O76),O76,0),P77/$N75),1)</f>
        <v>0.1</v>
      </c>
      <c r="Q76" s="168">
        <f aca="true" t="shared" si="686" ref="Q76">MIN(IF($B77,Q75+IF(ISNUMBER(P76),P76,0),Q77/$N75),1)</f>
        <v>0.2</v>
      </c>
      <c r="R76" s="168">
        <f aca="true" t="shared" si="687" ref="R76">MIN(IF($B77,R75+IF(ISNUMBER(Q76),Q76,0),R77/$N75),1)</f>
        <v>0.30000000000000004</v>
      </c>
      <c r="S76" s="168">
        <f aca="true" t="shared" si="688" ref="S76">MIN(IF($B77,S75+IF(ISNUMBER(R76),R76,0),S77/$N75),1)</f>
        <v>0.4</v>
      </c>
      <c r="T76" s="168">
        <f aca="true" t="shared" si="689" ref="T76">MIN(IF($B77,T75+IF(ISNUMBER(S76),S76,0),T77/$N75),1)</f>
        <v>0.5</v>
      </c>
      <c r="U76" s="168">
        <f aca="true" t="shared" si="690" ref="U76">MIN(IF($B77,U75+IF(ISNUMBER(T76),T76,0),U77/$N75),1)</f>
        <v>0.6</v>
      </c>
      <c r="V76" s="168">
        <f aca="true" t="shared" si="691" ref="V76">MIN(IF($B77,V75+IF(ISNUMBER(U76),U76,0),V77/$N75),1)</f>
        <v>0.7</v>
      </c>
      <c r="W76" s="168">
        <f aca="true" t="shared" si="692" ref="W76">MIN(IF($B77,W75+IF(ISNUMBER(V76),V76,0),W77/$N75),1)</f>
        <v>0.7999999999999999</v>
      </c>
      <c r="X76" s="198">
        <f aca="true" t="shared" si="693" ref="X76">MIN(IF($B77,X75+IF(ISNUMBER(W76),W76,0),X77/$N75),1)</f>
        <v>0.8999999999999999</v>
      </c>
      <c r="Y76" s="168">
        <f aca="true" t="shared" si="694" ref="Y76">MIN(IF($B77,Y75+IF(ISNUMBER(X76),X76,0),Y77/$N75),1)</f>
        <v>0.9999999999999999</v>
      </c>
      <c r="Z76" s="168">
        <f aca="true" t="shared" si="695" ref="Z76">MIN(IF($B77,Z75+IF(ISNUMBER(Y76),Y76,0),Z77/$N75),1)</f>
        <v>0.9999999999999999</v>
      </c>
      <c r="AA76" s="168">
        <f aca="true" t="shared" si="696" ref="AA76">MIN(IF($B77,AA75+IF(ISNUMBER(Z76),Z76,0),AA77/$N75),1)</f>
        <v>0.9999999999999999</v>
      </c>
      <c r="AB76" s="168">
        <f aca="true" t="shared" si="697" ref="AB76">MIN(IF($B77,AB75+IF(ISNUMBER(AA76),AA76,0),AB77/$N75),1)</f>
        <v>0.9999999999999999</v>
      </c>
      <c r="AC76" s="168">
        <f aca="true" t="shared" si="698" ref="AC76">MIN(IF($B77,AC75+IF(ISNUMBER(AB76),AB76,0),AC77/$N75),1)</f>
        <v>0.9999999999999999</v>
      </c>
      <c r="AD76" s="168">
        <f aca="true" t="shared" si="699" ref="AD76">MIN(IF($B77,AD75+IF(ISNUMBER(AC76),AC76,0),AD77/$N75),1)</f>
        <v>0.9999999999999999</v>
      </c>
      <c r="AE76" s="168">
        <f aca="true" t="shared" si="700" ref="AE76">MIN(IF($B77,AE75+IF(ISNUMBER(AD76),AD76,0),AE77/$N75),1)</f>
        <v>0.9999999999999999</v>
      </c>
      <c r="AF76" s="196"/>
      <c r="AK76" s="168">
        <f aca="true" t="shared" si="701" ref="AK76">MIN(IF($B77,AK75+IF(ISNUMBER(AJ76),AJ76,0),AK77/$N75),1)</f>
        <v>0</v>
      </c>
    </row>
    <row r="77" spans="1:37" ht="13.8">
      <c r="A77" s="184">
        <f ca="1">OFFSET(A77,-CFF.NumLinha,0)+1</f>
        <v>20</v>
      </c>
      <c r="B77" s="184" t="b">
        <f ca="1">$C77&gt;=OFFSET($C77,CFF.NumLinha,0)</f>
        <v>1</v>
      </c>
      <c r="C77" s="184">
        <f ca="1">INDEX(PO!A$12:A$174,MATCH($A77,PO!$V$12:$V$174,0))</f>
        <v>2</v>
      </c>
      <c r="D77" s="184">
        <f aca="true" t="shared" si="702" ref="D77">IF(ISERROR(J77),I77,SMALL(I77:J77,1))-1</f>
        <v>2</v>
      </c>
      <c r="E77" s="184">
        <f ca="1">IF($C77=1,OFFSET(E77,-CFF.NumLinha,0)+1,OFFSET(E77,-CFF.NumLinha,0))</f>
        <v>1</v>
      </c>
      <c r="F77" s="184">
        <f ca="1">IF($C77=1,0,IF($C77=2,OFFSET(F77,-CFF.NumLinha,0)+1,OFFSET(F77,-CFF.NumLinha,0)))</f>
        <v>19</v>
      </c>
      <c r="G77" s="184">
        <f ca="1">IF(AND($C77&lt;=2,$C77&lt;&gt;0),0,IF($C77=3,OFFSET(G77,-CFF.NumLinha,0)+1,OFFSET(G77,-CFF.NumLinha,0)))</f>
        <v>0</v>
      </c>
      <c r="H77" s="184">
        <f ca="1">IF(AND($C77&lt;=3,$C77&lt;&gt;0),0,IF($C77=4,OFFSET(H77,-CFF.NumLinha,0)+1,OFFSET(H77,-CFF.NumLinha,0)))</f>
        <v>0</v>
      </c>
      <c r="I77" s="184">
        <f aca="true" ca="1" t="shared" si="703" ref="I77">MATCH(0,OFFSET($D77,1,$C77,ROW($A$81)-ROW($A77)),0)</f>
        <v>4</v>
      </c>
      <c r="J77" s="184">
        <f aca="true" ca="1" t="shared" si="704" ref="J77">MATCH(OFFSET($D77,0,$C77)+1,OFFSET($D77,1,$C77,ROW($A$81)-ROW($A77)),0)</f>
        <v>3</v>
      </c>
      <c r="K77" s="185">
        <f ca="1">ROUND(INDEX(PO!T$12:T$174,MATCH($A77,PO!$V$12:$V$174,0)),2)+10^-12</f>
        <v>65855.01</v>
      </c>
      <c r="L77" s="376"/>
      <c r="M77" s="378"/>
      <c r="N77" s="380"/>
      <c r="O77" s="204" t="s">
        <v>20</v>
      </c>
      <c r="P77" s="199">
        <f aca="true" ca="1" t="shared" si="705" ref="P77:W77">IF($B77,ROUND(P76*$N75,2),ROUND(SUMIF(OFFSET($B77,1,0,$D77),TRUE,OFFSET(P77,1,0,$D77))/SUMIF(OFFSET($B77,1,0,$D77),TRUE,OFFSET($K77,1,0,$D77))*$N75,2))</f>
        <v>6585.5</v>
      </c>
      <c r="Q77" s="169">
        <f ca="1" t="shared" si="705"/>
        <v>13171</v>
      </c>
      <c r="R77" s="169">
        <f ca="1" t="shared" si="705"/>
        <v>19756.5</v>
      </c>
      <c r="S77" s="169">
        <f ca="1" t="shared" si="705"/>
        <v>26342</v>
      </c>
      <c r="T77" s="169">
        <f ca="1" t="shared" si="705"/>
        <v>32927.51</v>
      </c>
      <c r="U77" s="169">
        <f ca="1" t="shared" si="705"/>
        <v>39513.01</v>
      </c>
      <c r="V77" s="169">
        <f ca="1" t="shared" si="705"/>
        <v>46098.51</v>
      </c>
      <c r="W77" s="207">
        <f ca="1" t="shared" si="705"/>
        <v>52684.01</v>
      </c>
      <c r="X77" s="199">
        <f aca="true" ca="1" t="shared" si="706" ref="X77">IF($B77,ROUND(X76*$N75,2),ROUND(SUMIF(OFFSET($B77,1,0,$D77),TRUE,OFFSET(X77,1,0,$D77))/SUMIF(OFFSET($B77,1,0,$D77),TRUE,OFFSET($K77,1,0,$D77))*$N75,2))</f>
        <v>59269.51</v>
      </c>
      <c r="Y77" s="169">
        <f aca="true" ca="1" t="shared" si="707" ref="Y77">IF($B77,ROUND(Y76*$N75,2),ROUND(SUMIF(OFFSET($B77,1,0,$D77),TRUE,OFFSET(Y77,1,0,$D77))/SUMIF(OFFSET($B77,1,0,$D77),TRUE,OFFSET($K77,1,0,$D77))*$N75,2))</f>
        <v>65855.01</v>
      </c>
      <c r="Z77" s="169">
        <f aca="true" ca="1" t="shared" si="708" ref="Z77">IF($B77,ROUND(Z76*$N75,2),ROUND(SUMIF(OFFSET($B77,1,0,$D77),TRUE,OFFSET(Z77,1,0,$D77))/SUMIF(OFFSET($B77,1,0,$D77),TRUE,OFFSET($K77,1,0,$D77))*$N75,2))</f>
        <v>65855.01</v>
      </c>
      <c r="AA77" s="169">
        <f aca="true" ca="1" t="shared" si="709" ref="AA77">IF($B77,ROUND(AA76*$N75,2),ROUND(SUMIF(OFFSET($B77,1,0,$D77),TRUE,OFFSET(AA77,1,0,$D77))/SUMIF(OFFSET($B77,1,0,$D77),TRUE,OFFSET($K77,1,0,$D77))*$N75,2))</f>
        <v>65855.01</v>
      </c>
      <c r="AB77" s="169">
        <f aca="true" ca="1" t="shared" si="710" ref="AB77">IF($B77,ROUND(AB76*$N75,2),ROUND(SUMIF(OFFSET($B77,1,0,$D77),TRUE,OFFSET(AB77,1,0,$D77))/SUMIF(OFFSET($B77,1,0,$D77),TRUE,OFFSET($K77,1,0,$D77))*$N75,2))</f>
        <v>65855.01</v>
      </c>
      <c r="AC77" s="169">
        <f aca="true" ca="1" t="shared" si="711" ref="AC77">IF($B77,ROUND(AC76*$N75,2),ROUND(SUMIF(OFFSET($B77,1,0,$D77),TRUE,OFFSET(AC77,1,0,$D77))/SUMIF(OFFSET($B77,1,0,$D77),TRUE,OFFSET($K77,1,0,$D77))*$N75,2))</f>
        <v>65855.01</v>
      </c>
      <c r="AD77" s="169">
        <f aca="true" ca="1" t="shared" si="712" ref="AD77">IF($B77,ROUND(AD76*$N75,2),ROUND(SUMIF(OFFSET($B77,1,0,$D77),TRUE,OFFSET(AD77,1,0,$D77))/SUMIF(OFFSET($B77,1,0,$D77),TRUE,OFFSET($K77,1,0,$D77))*$N75,2))</f>
        <v>65855.01</v>
      </c>
      <c r="AE77" s="207">
        <f aca="true" ca="1" t="shared" si="713" ref="AE77">IF($B77,ROUND(AE76*$N75,2),ROUND(SUMIF(OFFSET($B77,1,0,$D77),TRUE,OFFSET(AE77,1,0,$D77))/SUMIF(OFFSET($B77,1,0,$D77),TRUE,OFFSET($K77,1,0,$D77))*$N75,2))</f>
        <v>65855.01</v>
      </c>
      <c r="AF77" s="196"/>
      <c r="AK77" s="169">
        <f aca="true" ca="1" t="shared" si="714" ref="AK77">IF($B77,ROUND(AK76*$N75,2),ROUND(SUMIF(OFFSET($B77,1,0,$D77),TRUE,OFFSET(AK77,1,0,$D77))/SUMIF(OFFSET($B77,1,0,$D77),TRUE,OFFSET($K77,1,0,$D77))*$N75,2))</f>
        <v>0</v>
      </c>
    </row>
    <row r="78" spans="1:37" ht="14.25" customHeight="1">
      <c r="A78" s="82"/>
      <c r="B78" s="82"/>
      <c r="C78" s="82"/>
      <c r="D78" s="82"/>
      <c r="E78" s="82"/>
      <c r="F78" s="82"/>
      <c r="G78" s="82"/>
      <c r="H78" s="82"/>
      <c r="I78" s="82"/>
      <c r="J78" s="82"/>
      <c r="K78" s="82"/>
      <c r="L78" s="375" t="str">
        <f ca="1">INDEX(PO!K$12:K$174,MATCH($A80,PO!$V$12:$V$174,0))</f>
        <v>1.20.</v>
      </c>
      <c r="M78" s="377" t="str">
        <f ca="1">INDEX(PO!N$12:N$174,MATCH($A80,PO!$V$12:$V$174,0))</f>
        <v xml:space="preserve">Instalação Elétrica </v>
      </c>
      <c r="N78" s="379">
        <f aca="true" t="shared" si="715" ref="N78">IF(ROUND(K80,2)=0,K80,ROUND(K80,2))</f>
        <v>67715.89</v>
      </c>
      <c r="O78" s="220" t="s">
        <v>142</v>
      </c>
      <c r="P78" s="225">
        <v>0.1</v>
      </c>
      <c r="Q78" s="226">
        <v>0.1</v>
      </c>
      <c r="R78" s="226">
        <v>0.1</v>
      </c>
      <c r="S78" s="226">
        <v>0.1</v>
      </c>
      <c r="T78" s="226">
        <v>0.1</v>
      </c>
      <c r="U78" s="226">
        <v>0.1</v>
      </c>
      <c r="V78" s="226">
        <v>0.1</v>
      </c>
      <c r="W78" s="227">
        <v>0.1</v>
      </c>
      <c r="X78" s="225">
        <v>0.1</v>
      </c>
      <c r="Y78" s="226">
        <v>0.1</v>
      </c>
      <c r="Z78" s="226">
        <f aca="true" t="shared" si="716" ref="Z78">IF($B80,0,Z79-IF(ISNUMBER(Y79),Y79,0))</f>
        <v>0</v>
      </c>
      <c r="AA78" s="226">
        <f aca="true" t="shared" si="717" ref="AA78">IF($B80,0,AA79-IF(ISNUMBER(Z79),Z79,0))</f>
        <v>0</v>
      </c>
      <c r="AB78" s="226">
        <f aca="true" t="shared" si="718" ref="AB78">IF($B80,0,AB79-IF(ISNUMBER(AA79),AA79,0))</f>
        <v>0</v>
      </c>
      <c r="AC78" s="226">
        <f aca="true" t="shared" si="719" ref="AC78">IF($B80,0,AC79-IF(ISNUMBER(AB79),AB79,0))</f>
        <v>0</v>
      </c>
      <c r="AD78" s="226">
        <f aca="true" t="shared" si="720" ref="AD78">IF($B80,0,AD79-IF(ISNUMBER(AC79),AC79,0))</f>
        <v>0</v>
      </c>
      <c r="AE78" s="227">
        <f aca="true" t="shared" si="721" ref="AE78">IF($B80,0,AE79-IF(ISNUMBER(AD79),AD79,0))</f>
        <v>0</v>
      </c>
      <c r="AF78" s="196"/>
      <c r="AK78" s="221">
        <f aca="true" t="shared" si="722" ref="AK78">IF($B80,0,AK79-IF(ISNUMBER(AJ79),AJ79,0))</f>
        <v>0</v>
      </c>
    </row>
    <row r="79" spans="1:37" ht="13.8">
      <c r="A79" s="184"/>
      <c r="B79" s="184"/>
      <c r="C79" s="184"/>
      <c r="D79" s="184"/>
      <c r="E79" s="184"/>
      <c r="F79" s="184"/>
      <c r="G79" s="184"/>
      <c r="H79" s="184"/>
      <c r="I79" s="184"/>
      <c r="J79" s="184"/>
      <c r="K79" s="184"/>
      <c r="L79" s="376"/>
      <c r="M79" s="378"/>
      <c r="N79" s="380"/>
      <c r="O79" s="170" t="s">
        <v>144</v>
      </c>
      <c r="P79" s="198">
        <f aca="true" t="shared" si="723" ref="P79">MIN(IF($B80,P78+IF(ISNUMBER(O79),O79,0),P80/$N78),1)</f>
        <v>0.1</v>
      </c>
      <c r="Q79" s="168">
        <f aca="true" t="shared" si="724" ref="Q79">MIN(IF($B80,Q78+IF(ISNUMBER(P79),P79,0),Q80/$N78),1)</f>
        <v>0.2</v>
      </c>
      <c r="R79" s="168">
        <f aca="true" t="shared" si="725" ref="R79">MIN(IF($B80,R78+IF(ISNUMBER(Q79),Q79,0),R80/$N78),1)</f>
        <v>0.30000000000000004</v>
      </c>
      <c r="S79" s="168">
        <f aca="true" t="shared" si="726" ref="S79">MIN(IF($B80,S78+IF(ISNUMBER(R79),R79,0),S80/$N78),1)</f>
        <v>0.4</v>
      </c>
      <c r="T79" s="168">
        <f aca="true" t="shared" si="727" ref="T79">MIN(IF($B80,T78+IF(ISNUMBER(S79),S79,0),T80/$N78),1)</f>
        <v>0.5</v>
      </c>
      <c r="U79" s="168">
        <f aca="true" t="shared" si="728" ref="U79">MIN(IF($B80,U78+IF(ISNUMBER(T79),T79,0),U80/$N78),1)</f>
        <v>0.6</v>
      </c>
      <c r="V79" s="168">
        <f aca="true" t="shared" si="729" ref="V79">MIN(IF($B80,V78+IF(ISNUMBER(U79),U79,0),V80/$N78),1)</f>
        <v>0.7</v>
      </c>
      <c r="W79" s="168">
        <f aca="true" t="shared" si="730" ref="W79">MIN(IF($B80,W78+IF(ISNUMBER(V79),V79,0),W80/$N78),1)</f>
        <v>0.7999999999999999</v>
      </c>
      <c r="X79" s="198">
        <f aca="true" t="shared" si="731" ref="X79">MIN(IF($B80,X78+IF(ISNUMBER(W79),W79,0),X80/$N78),1)</f>
        <v>0.8999999999999999</v>
      </c>
      <c r="Y79" s="168">
        <f aca="true" t="shared" si="732" ref="Y79">MIN(IF($B80,Y78+IF(ISNUMBER(X79),X79,0),Y80/$N78),1)</f>
        <v>0.9999999999999999</v>
      </c>
      <c r="Z79" s="168">
        <f aca="true" t="shared" si="733" ref="Z79">MIN(IF($B80,Z78+IF(ISNUMBER(Y79),Y79,0),Z80/$N78),1)</f>
        <v>0.9999999999999999</v>
      </c>
      <c r="AA79" s="168">
        <f aca="true" t="shared" si="734" ref="AA79">MIN(IF($B80,AA78+IF(ISNUMBER(Z79),Z79,0),AA80/$N78),1)</f>
        <v>0.9999999999999999</v>
      </c>
      <c r="AB79" s="168">
        <f aca="true" t="shared" si="735" ref="AB79">MIN(IF($B80,AB78+IF(ISNUMBER(AA79),AA79,0),AB80/$N78),1)</f>
        <v>0.9999999999999999</v>
      </c>
      <c r="AC79" s="168">
        <f aca="true" t="shared" si="736" ref="AC79">MIN(IF($B80,AC78+IF(ISNUMBER(AB79),AB79,0),AC80/$N78),1)</f>
        <v>0.9999999999999999</v>
      </c>
      <c r="AD79" s="168">
        <f aca="true" t="shared" si="737" ref="AD79">MIN(IF($B80,AD78+IF(ISNUMBER(AC79),AC79,0),AD80/$N78),1)</f>
        <v>0.9999999999999999</v>
      </c>
      <c r="AE79" s="168">
        <f aca="true" t="shared" si="738" ref="AE79">MIN(IF($B80,AE78+IF(ISNUMBER(AD79),AD79,0),AE80/$N78),1)</f>
        <v>0.9999999999999999</v>
      </c>
      <c r="AF79" s="196"/>
      <c r="AK79" s="168">
        <f aca="true" t="shared" si="739" ref="AK79">MIN(IF($B80,AK78+IF(ISNUMBER(AJ79),AJ79,0),AK80/$N78),1)</f>
        <v>0</v>
      </c>
    </row>
    <row r="80" spans="1:37" ht="13.8">
      <c r="A80" s="184">
        <f ca="1">OFFSET(A80,-CFF.NumLinha,0)+1</f>
        <v>21</v>
      </c>
      <c r="B80" s="184" t="b">
        <f ca="1">$C80&gt;=OFFSET($C80,CFF.NumLinha,0)</f>
        <v>1</v>
      </c>
      <c r="C80" s="184">
        <f ca="1">INDEX(PO!A$12:A$174,MATCH($A80,PO!$V$12:$V$174,0))</f>
        <v>2</v>
      </c>
      <c r="D80" s="184">
        <f aca="true" t="shared" si="740" ref="D80">IF(ISERROR(J80),I80,SMALL(I80:J80,1))-1</f>
        <v>0</v>
      </c>
      <c r="E80" s="184">
        <f ca="1">IF($C80=1,OFFSET(E80,-CFF.NumLinha,0)+1,OFFSET(E80,-CFF.NumLinha,0))</f>
        <v>1</v>
      </c>
      <c r="F80" s="184">
        <f ca="1">IF($C80=1,0,IF($C80=2,OFFSET(F80,-CFF.NumLinha,0)+1,OFFSET(F80,-CFF.NumLinha,0)))</f>
        <v>20</v>
      </c>
      <c r="G80" s="184">
        <f ca="1">IF(AND($C80&lt;=2,$C80&lt;&gt;0),0,IF($C80=3,OFFSET(G80,-CFF.NumLinha,0)+1,OFFSET(G80,-CFF.NumLinha,0)))</f>
        <v>0</v>
      </c>
      <c r="H80" s="184">
        <f ca="1">IF(AND($C80&lt;=3,$C80&lt;&gt;0),0,IF($C80=4,OFFSET(H80,-CFF.NumLinha,0)+1,OFFSET(H80,-CFF.NumLinha,0)))</f>
        <v>0</v>
      </c>
      <c r="I80" s="184">
        <f aca="true" ca="1" t="shared" si="741" ref="I80">MATCH(0,OFFSET($D80,1,$C80,ROW($A$81)-ROW($A80)),0)</f>
        <v>1</v>
      </c>
      <c r="J80" s="184" t="e">
        <f aca="true" ca="1" t="shared" si="742" ref="J80">MATCH(OFFSET($D80,0,$C80)+1,OFFSET($D80,1,$C80,ROW($A$81)-ROW($A80)),0)</f>
        <v>#N/A</v>
      </c>
      <c r="K80" s="185">
        <f ca="1">ROUND(INDEX(PO!T$12:T$174,MATCH($A80,PO!$V$12:$V$174,0)),2)+10^-12</f>
        <v>67715.89</v>
      </c>
      <c r="L80" s="376"/>
      <c r="M80" s="378"/>
      <c r="N80" s="380"/>
      <c r="O80" s="204" t="s">
        <v>20</v>
      </c>
      <c r="P80" s="199">
        <f aca="true" ca="1" t="shared" si="743" ref="P80:W80">IF($B80,ROUND(P79*$N78,2),ROUND(SUMIF(OFFSET($B80,1,0,$D80),TRUE,OFFSET(P80,1,0,$D80))/SUMIF(OFFSET($B80,1,0,$D80),TRUE,OFFSET($K80,1,0,$D80))*$N78,2))</f>
        <v>6771.59</v>
      </c>
      <c r="Q80" s="169">
        <f ca="1" t="shared" si="743"/>
        <v>13543.18</v>
      </c>
      <c r="R80" s="169">
        <f ca="1" t="shared" si="743"/>
        <v>20314.77</v>
      </c>
      <c r="S80" s="169">
        <f ca="1" t="shared" si="743"/>
        <v>27086.36</v>
      </c>
      <c r="T80" s="169">
        <f ca="1" t="shared" si="743"/>
        <v>33857.95</v>
      </c>
      <c r="U80" s="169">
        <f ca="1" t="shared" si="743"/>
        <v>40629.53</v>
      </c>
      <c r="V80" s="169">
        <f ca="1" t="shared" si="743"/>
        <v>47401.12</v>
      </c>
      <c r="W80" s="207">
        <f ca="1" t="shared" si="743"/>
        <v>54172.71</v>
      </c>
      <c r="X80" s="199">
        <f aca="true" ca="1" t="shared" si="744" ref="X80">IF($B80,ROUND(X79*$N78,2),ROUND(SUMIF(OFFSET($B80,1,0,$D80),TRUE,OFFSET(X80,1,0,$D80))/SUMIF(OFFSET($B80,1,0,$D80),TRUE,OFFSET($K80,1,0,$D80))*$N78,2))</f>
        <v>60944.3</v>
      </c>
      <c r="Y80" s="169">
        <f aca="true" ca="1" t="shared" si="745" ref="Y80">IF($B80,ROUND(Y79*$N78,2),ROUND(SUMIF(OFFSET($B80,1,0,$D80),TRUE,OFFSET(Y80,1,0,$D80))/SUMIF(OFFSET($B80,1,0,$D80),TRUE,OFFSET($K80,1,0,$D80))*$N78,2))</f>
        <v>67715.89</v>
      </c>
      <c r="Z80" s="169">
        <f aca="true" ca="1" t="shared" si="746" ref="Z80">IF($B80,ROUND(Z79*$N78,2),ROUND(SUMIF(OFFSET($B80,1,0,$D80),TRUE,OFFSET(Z80,1,0,$D80))/SUMIF(OFFSET($B80,1,0,$D80),TRUE,OFFSET($K80,1,0,$D80))*$N78,2))</f>
        <v>67715.89</v>
      </c>
      <c r="AA80" s="169">
        <f aca="true" ca="1" t="shared" si="747" ref="AA80">IF($B80,ROUND(AA79*$N78,2),ROUND(SUMIF(OFFSET($B80,1,0,$D80),TRUE,OFFSET(AA80,1,0,$D80))/SUMIF(OFFSET($B80,1,0,$D80),TRUE,OFFSET($K80,1,0,$D80))*$N78,2))</f>
        <v>67715.89</v>
      </c>
      <c r="AB80" s="169">
        <f aca="true" ca="1" t="shared" si="748" ref="AB80">IF($B80,ROUND(AB79*$N78,2),ROUND(SUMIF(OFFSET($B80,1,0,$D80),TRUE,OFFSET(AB80,1,0,$D80))/SUMIF(OFFSET($B80,1,0,$D80),TRUE,OFFSET($K80,1,0,$D80))*$N78,2))</f>
        <v>67715.89</v>
      </c>
      <c r="AC80" s="169">
        <f aca="true" ca="1" t="shared" si="749" ref="AC80">IF($B80,ROUND(AC79*$N78,2),ROUND(SUMIF(OFFSET($B80,1,0,$D80),TRUE,OFFSET(AC80,1,0,$D80))/SUMIF(OFFSET($B80,1,0,$D80),TRUE,OFFSET($K80,1,0,$D80))*$N78,2))</f>
        <v>67715.89</v>
      </c>
      <c r="AD80" s="169">
        <f aca="true" ca="1" t="shared" si="750" ref="AD80">IF($B80,ROUND(AD79*$N78,2),ROUND(SUMIF(OFFSET($B80,1,0,$D80),TRUE,OFFSET(AD80,1,0,$D80))/SUMIF(OFFSET($B80,1,0,$D80),TRUE,OFFSET($K80,1,0,$D80))*$N78,2))</f>
        <v>67715.89</v>
      </c>
      <c r="AE80" s="207">
        <f aca="true" ca="1" t="shared" si="751" ref="AE80">IF($B80,ROUND(AE79*$N78,2),ROUND(SUMIF(OFFSET($B80,1,0,$D80),TRUE,OFFSET(AE80,1,0,$D80))/SUMIF(OFFSET($B80,1,0,$D80),TRUE,OFFSET($K80,1,0,$D80))*$N78,2))</f>
        <v>67715.89</v>
      </c>
      <c r="AF80" s="196"/>
      <c r="AK80" s="169">
        <f aca="true" ca="1" t="shared" si="752" ref="AK80">IF($B80,ROUND(AK79*$N78,2),ROUND(SUMIF(OFFSET($B80,1,0,$D80),TRUE,OFFSET(AK80,1,0,$D80))/SUMIF(OFFSET($B80,1,0,$D80),TRUE,OFFSET($K80,1,0,$D80))*$N78,2))</f>
        <v>0</v>
      </c>
    </row>
    <row r="81" spans="1:37" s="45" customFormat="1" ht="12.75" customHeight="1">
      <c r="A81" s="1"/>
      <c r="B81" s="1"/>
      <c r="C81" s="184">
        <v>-1</v>
      </c>
      <c r="D81" s="184"/>
      <c r="E81" s="184">
        <v>0</v>
      </c>
      <c r="F81" s="184">
        <v>0</v>
      </c>
      <c r="G81" s="184">
        <v>0</v>
      </c>
      <c r="H81" s="184">
        <v>0</v>
      </c>
      <c r="I81" s="1"/>
      <c r="J81" s="1"/>
      <c r="K81" s="1"/>
      <c r="L81" s="154"/>
      <c r="M81" s="154"/>
      <c r="N81" s="155"/>
      <c r="O81" s="154"/>
      <c r="P81" s="154"/>
      <c r="Q81" s="155"/>
      <c r="R81" s="154"/>
      <c r="S81" s="154"/>
      <c r="T81" s="154"/>
      <c r="U81" s="154"/>
      <c r="V81" s="154"/>
      <c r="W81" s="154"/>
      <c r="X81" s="154"/>
      <c r="Y81" s="155"/>
      <c r="Z81" s="154"/>
      <c r="AA81" s="154"/>
      <c r="AB81" s="154"/>
      <c r="AC81" s="154"/>
      <c r="AD81" s="154"/>
      <c r="AE81" s="154"/>
      <c r="AF81" s="186"/>
      <c r="AK81" s="154"/>
    </row>
    <row r="82" spans="1:37" ht="12" customHeight="1">
      <c r="A82" s="1"/>
      <c r="B82" s="1"/>
      <c r="C82" s="1"/>
      <c r="D82" s="1"/>
      <c r="E82" s="1"/>
      <c r="F82" s="1"/>
      <c r="G82" s="1"/>
      <c r="H82" s="1"/>
      <c r="I82" s="1"/>
      <c r="J82" s="1"/>
      <c r="K82" s="1"/>
      <c r="L82" s="187"/>
      <c r="M82" s="187"/>
      <c r="N82" s="187"/>
      <c r="O82" s="187"/>
      <c r="P82" s="187"/>
      <c r="Q82" s="187"/>
      <c r="R82" s="187"/>
      <c r="S82" s="187"/>
      <c r="T82" s="187"/>
      <c r="U82" s="187"/>
      <c r="V82" s="187"/>
      <c r="W82" s="187"/>
      <c r="X82" s="187"/>
      <c r="Y82" s="187"/>
      <c r="Z82" s="187"/>
      <c r="AA82" s="187"/>
      <c r="AB82" s="187"/>
      <c r="AC82" s="187"/>
      <c r="AD82" s="187"/>
      <c r="AE82" s="187"/>
      <c r="AF82" s="188"/>
      <c r="AK82" s="187"/>
    </row>
    <row r="83" spans="1:37" ht="12.75">
      <c r="A83" s="1"/>
      <c r="B83" s="1"/>
      <c r="C83" s="1"/>
      <c r="D83" s="1"/>
      <c r="E83" s="1"/>
      <c r="F83" s="1"/>
      <c r="G83" s="1"/>
      <c r="H83" s="1"/>
      <c r="I83" s="1"/>
      <c r="J83" s="1"/>
      <c r="K83" s="1"/>
      <c r="L83" s="384">
        <f>DADOS!I32</f>
        <v>0</v>
      </c>
      <c r="M83" s="384"/>
      <c r="N83" s="384"/>
      <c r="O83" s="187"/>
      <c r="P83" s="189"/>
      <c r="Q83" s="374"/>
      <c r="R83" s="374"/>
      <c r="S83" s="374"/>
      <c r="T83" s="187"/>
      <c r="U83" s="187"/>
      <c r="V83" s="187"/>
      <c r="W83" s="187"/>
      <c r="X83" s="189"/>
      <c r="Y83" s="374"/>
      <c r="Z83" s="374"/>
      <c r="AA83" s="374"/>
      <c r="AB83" s="187"/>
      <c r="AC83" s="187"/>
      <c r="AD83" s="187"/>
      <c r="AE83" s="187"/>
      <c r="AF83" s="188"/>
      <c r="AK83" s="187"/>
    </row>
    <row r="84" spans="1:37" ht="12.75">
      <c r="A84" s="1"/>
      <c r="B84" s="1"/>
      <c r="C84" s="1"/>
      <c r="D84" s="1"/>
      <c r="E84" s="1"/>
      <c r="F84" s="1"/>
      <c r="G84" s="1"/>
      <c r="H84" s="1"/>
      <c r="I84" s="1"/>
      <c r="J84" s="1"/>
      <c r="K84" s="1"/>
      <c r="L84" s="190" t="s">
        <v>120</v>
      </c>
      <c r="M84" s="383"/>
      <c r="N84" s="383"/>
      <c r="O84" s="187"/>
      <c r="P84" s="189"/>
      <c r="Q84" s="374"/>
      <c r="R84" s="374"/>
      <c r="S84" s="374"/>
      <c r="T84" s="187"/>
      <c r="U84" s="187"/>
      <c r="V84" s="187"/>
      <c r="W84" s="187"/>
      <c r="X84" s="189"/>
      <c r="Y84" s="374"/>
      <c r="Z84" s="374"/>
      <c r="AA84" s="374"/>
      <c r="AB84" s="187"/>
      <c r="AC84" s="187"/>
      <c r="AD84" s="187"/>
      <c r="AE84" s="187"/>
      <c r="AF84" s="188"/>
      <c r="AK84" s="187"/>
    </row>
    <row r="85" spans="1:37" ht="12.75">
      <c r="A85" s="1"/>
      <c r="B85" s="1"/>
      <c r="C85" s="1"/>
      <c r="D85" s="1"/>
      <c r="E85" s="1"/>
      <c r="F85" s="1"/>
      <c r="G85" s="1"/>
      <c r="H85" s="1"/>
      <c r="I85" s="1"/>
      <c r="J85" s="1"/>
      <c r="K85" s="1"/>
      <c r="L85" s="189"/>
      <c r="M85" s="382"/>
      <c r="N85" s="383"/>
      <c r="O85" s="187"/>
      <c r="P85" s="189"/>
      <c r="Q85" s="374"/>
      <c r="R85" s="374"/>
      <c r="S85" s="374"/>
      <c r="T85" s="187"/>
      <c r="U85" s="187"/>
      <c r="V85" s="187"/>
      <c r="W85" s="187"/>
      <c r="X85" s="189"/>
      <c r="Y85" s="374"/>
      <c r="Z85" s="374"/>
      <c r="AA85" s="374"/>
      <c r="AB85" s="187"/>
      <c r="AC85" s="187"/>
      <c r="AD85" s="187"/>
      <c r="AE85" s="187"/>
      <c r="AF85" s="188"/>
      <c r="AK85" s="187"/>
    </row>
    <row r="86" spans="1:37" ht="12.75">
      <c r="A86" s="1"/>
      <c r="B86" s="1"/>
      <c r="C86" s="1"/>
      <c r="D86" s="1"/>
      <c r="E86" s="1"/>
      <c r="F86" s="1"/>
      <c r="G86" s="1"/>
      <c r="H86" s="1"/>
      <c r="I86" s="1"/>
      <c r="J86" s="1"/>
      <c r="K86" s="1"/>
      <c r="L86" s="385">
        <f ca="1">PO!K188</f>
        <v>45148</v>
      </c>
      <c r="M86" s="385"/>
      <c r="N86" s="385"/>
      <c r="O86" s="187"/>
      <c r="P86" s="187"/>
      <c r="Q86" s="187"/>
      <c r="R86" s="187"/>
      <c r="S86" s="187"/>
      <c r="T86" s="187"/>
      <c r="U86" s="187"/>
      <c r="V86" s="187"/>
      <c r="W86" s="187"/>
      <c r="X86" s="187"/>
      <c r="Y86" s="187"/>
      <c r="Z86" s="187"/>
      <c r="AA86" s="187"/>
      <c r="AB86" s="187"/>
      <c r="AC86" s="187"/>
      <c r="AD86" s="187"/>
      <c r="AE86" s="187"/>
      <c r="AF86" s="191"/>
      <c r="AK86" s="187"/>
    </row>
    <row r="87" spans="1:37" ht="12.75">
      <c r="A87" s="1"/>
      <c r="B87" s="1"/>
      <c r="C87" s="1"/>
      <c r="D87" s="1"/>
      <c r="E87" s="1"/>
      <c r="F87" s="1"/>
      <c r="G87" s="1"/>
      <c r="H87" s="1"/>
      <c r="I87" s="1"/>
      <c r="J87" s="1"/>
      <c r="K87" s="1"/>
      <c r="L87" s="192" t="s">
        <v>121</v>
      </c>
      <c r="M87" s="193"/>
      <c r="N87" s="193"/>
      <c r="O87" s="187"/>
      <c r="P87" s="187"/>
      <c r="Q87" s="187"/>
      <c r="R87" s="187"/>
      <c r="S87" s="187"/>
      <c r="T87" s="187"/>
      <c r="U87" s="187"/>
      <c r="V87" s="187"/>
      <c r="W87" s="187"/>
      <c r="X87" s="187"/>
      <c r="Y87" s="187"/>
      <c r="Z87" s="187"/>
      <c r="AA87" s="187"/>
      <c r="AB87" s="187"/>
      <c r="AC87" s="187"/>
      <c r="AD87" s="187"/>
      <c r="AE87" s="187"/>
      <c r="AF87" s="191"/>
      <c r="AK87" s="187"/>
    </row>
    <row r="88" spans="1:37" ht="12.75">
      <c r="A88" s="1"/>
      <c r="B88" s="1"/>
      <c r="C88" s="1"/>
      <c r="D88" s="1"/>
      <c r="E88" s="1"/>
      <c r="F88" s="1"/>
      <c r="G88" s="1"/>
      <c r="H88" s="1"/>
      <c r="I88" s="1"/>
      <c r="J88" s="1"/>
      <c r="K88" s="1"/>
      <c r="L88" s="187"/>
      <c r="M88" s="187"/>
      <c r="N88" s="187"/>
      <c r="O88" s="187"/>
      <c r="P88" s="187"/>
      <c r="Q88" s="187"/>
      <c r="R88" s="187"/>
      <c r="S88" s="187"/>
      <c r="T88" s="187"/>
      <c r="U88" s="187"/>
      <c r="V88" s="187"/>
      <c r="W88" s="187"/>
      <c r="X88" s="187"/>
      <c r="Y88" s="187"/>
      <c r="Z88" s="187"/>
      <c r="AA88" s="187"/>
      <c r="AB88" s="187"/>
      <c r="AC88" s="187"/>
      <c r="AD88" s="187"/>
      <c r="AE88" s="187"/>
      <c r="AF88" s="191"/>
      <c r="AK88" s="187"/>
    </row>
    <row r="89" spans="1:37" ht="12.75">
      <c r="A89" s="1"/>
      <c r="B89" s="1"/>
      <c r="C89" s="1"/>
      <c r="D89" s="1"/>
      <c r="E89" s="1"/>
      <c r="F89" s="1"/>
      <c r="G89" s="1"/>
      <c r="H89" s="1"/>
      <c r="I89" s="1"/>
      <c r="J89" s="1"/>
      <c r="K89" s="1"/>
      <c r="L89" s="187"/>
      <c r="M89" s="187"/>
      <c r="N89" s="194"/>
      <c r="O89" s="187"/>
      <c r="P89" s="187"/>
      <c r="Q89" s="187"/>
      <c r="R89" s="187"/>
      <c r="S89" s="187"/>
      <c r="T89" s="187"/>
      <c r="U89" s="187"/>
      <c r="V89" s="187"/>
      <c r="W89" s="187"/>
      <c r="X89" s="187"/>
      <c r="Y89" s="187"/>
      <c r="Z89" s="187"/>
      <c r="AA89" s="187"/>
      <c r="AB89" s="187"/>
      <c r="AC89" s="187"/>
      <c r="AD89" s="187"/>
      <c r="AE89" s="187"/>
      <c r="AF89" s="188"/>
      <c r="AK89" s="187"/>
    </row>
    <row r="90" spans="1:37" ht="12.75">
      <c r="A90" s="1"/>
      <c r="B90" s="1"/>
      <c r="C90" s="1"/>
      <c r="D90" s="1"/>
      <c r="E90" s="1"/>
      <c r="F90" s="1"/>
      <c r="G90" s="1"/>
      <c r="H90" s="1"/>
      <c r="I90" s="1"/>
      <c r="J90" s="1"/>
      <c r="K90" s="1"/>
      <c r="L90" s="187"/>
      <c r="M90" s="187"/>
      <c r="N90" s="194"/>
      <c r="O90" s="187"/>
      <c r="P90" s="187"/>
      <c r="Q90" s="187"/>
      <c r="R90" s="187"/>
      <c r="S90" s="187"/>
      <c r="T90" s="187"/>
      <c r="U90" s="187"/>
      <c r="V90" s="187"/>
      <c r="W90" s="187"/>
      <c r="X90" s="187"/>
      <c r="Y90" s="187"/>
      <c r="Z90" s="187"/>
      <c r="AA90" s="187"/>
      <c r="AB90" s="187"/>
      <c r="AC90" s="187"/>
      <c r="AD90" s="187"/>
      <c r="AE90" s="187"/>
      <c r="AF90" s="188"/>
      <c r="AK90" s="187"/>
    </row>
    <row r="91" spans="1:37" ht="12.75">
      <c r="A91" s="1"/>
      <c r="B91" s="1"/>
      <c r="C91" s="1"/>
      <c r="D91" s="1"/>
      <c r="E91" s="1"/>
      <c r="F91" s="1"/>
      <c r="G91" s="1"/>
      <c r="H91" s="1"/>
      <c r="I91" s="1"/>
      <c r="J91" s="1"/>
      <c r="K91" s="1"/>
      <c r="L91" s="82"/>
      <c r="M91" s="82"/>
      <c r="N91" s="7"/>
      <c r="O91" s="82"/>
      <c r="P91" s="82"/>
      <c r="Q91" s="82"/>
      <c r="R91" s="82"/>
      <c r="S91" s="82"/>
      <c r="T91" s="82"/>
      <c r="U91" s="82"/>
      <c r="V91" s="82"/>
      <c r="W91" s="187"/>
      <c r="X91" s="82"/>
      <c r="Y91" s="82"/>
      <c r="Z91" s="82"/>
      <c r="AA91" s="82"/>
      <c r="AB91" s="82"/>
      <c r="AC91" s="82"/>
      <c r="AD91" s="82"/>
      <c r="AE91" s="187"/>
      <c r="AF91" s="188"/>
      <c r="AK91" s="82"/>
    </row>
  </sheetData>
  <sheetProtection algorithmName="SHA-512" hashValue="mhPrhfi3jBnp9RDYcZqs4YDc3OQd6xm+4D84yq3JDDMhHZPgNbBWq5mHUOcbVHmvYylNhCKSwoHGuHgBrjZCqg==" saltValue="ziCOmlHlA19F0G3YJNa7cg==" spinCount="100000" sheet="1" objects="1" scenarios="1"/>
  <mergeCells count="79">
    <mergeCell ref="L86:N86"/>
    <mergeCell ref="L11:L13"/>
    <mergeCell ref="M11:M13"/>
    <mergeCell ref="L14:M17"/>
    <mergeCell ref="N14:N17"/>
    <mergeCell ref="L18:L20"/>
    <mergeCell ref="L21:L23"/>
    <mergeCell ref="M21:M23"/>
    <mergeCell ref="N21:N23"/>
    <mergeCell ref="L24:L26"/>
    <mergeCell ref="M24:M26"/>
    <mergeCell ref="N24:N26"/>
    <mergeCell ref="L27:L29"/>
    <mergeCell ref="M27:M29"/>
    <mergeCell ref="N27:N29"/>
    <mergeCell ref="L30:L32"/>
    <mergeCell ref="L8:M8"/>
    <mergeCell ref="N11:N13"/>
    <mergeCell ref="M18:M20"/>
    <mergeCell ref="N18:N20"/>
    <mergeCell ref="Q85:S85"/>
    <mergeCell ref="M85:N85"/>
    <mergeCell ref="Q84:S84"/>
    <mergeCell ref="Q83:S83"/>
    <mergeCell ref="L83:N83"/>
    <mergeCell ref="M84:N84"/>
    <mergeCell ref="M30:M32"/>
    <mergeCell ref="N30:N32"/>
    <mergeCell ref="L33:L35"/>
    <mergeCell ref="M33:M35"/>
    <mergeCell ref="N33:N35"/>
    <mergeCell ref="L36:L38"/>
    <mergeCell ref="M36:M38"/>
    <mergeCell ref="N36:N38"/>
    <mergeCell ref="L39:L41"/>
    <mergeCell ref="M39:M41"/>
    <mergeCell ref="N39:N41"/>
    <mergeCell ref="L42:L44"/>
    <mergeCell ref="M42:M44"/>
    <mergeCell ref="N42:N44"/>
    <mergeCell ref="L45:L47"/>
    <mergeCell ref="M45:M47"/>
    <mergeCell ref="N45:N47"/>
    <mergeCell ref="L48:L50"/>
    <mergeCell ref="M48:M50"/>
    <mergeCell ref="N48:N50"/>
    <mergeCell ref="L51:L53"/>
    <mergeCell ref="M51:M53"/>
    <mergeCell ref="N51:N53"/>
    <mergeCell ref="L54:L56"/>
    <mergeCell ref="M54:M56"/>
    <mergeCell ref="N54:N56"/>
    <mergeCell ref="L57:L59"/>
    <mergeCell ref="M57:M59"/>
    <mergeCell ref="N57:N59"/>
    <mergeCell ref="L60:L62"/>
    <mergeCell ref="M60:M62"/>
    <mergeCell ref="N60:N62"/>
    <mergeCell ref="L63:L65"/>
    <mergeCell ref="M63:M65"/>
    <mergeCell ref="N63:N65"/>
    <mergeCell ref="L66:L68"/>
    <mergeCell ref="M66:M68"/>
    <mergeCell ref="N66:N68"/>
    <mergeCell ref="L69:L71"/>
    <mergeCell ref="M69:M71"/>
    <mergeCell ref="N69:N71"/>
    <mergeCell ref="L72:L74"/>
    <mergeCell ref="M72:M74"/>
    <mergeCell ref="N72:N74"/>
    <mergeCell ref="L75:L77"/>
    <mergeCell ref="M75:M77"/>
    <mergeCell ref="N75:N77"/>
    <mergeCell ref="Y85:AA85"/>
    <mergeCell ref="L78:L80"/>
    <mergeCell ref="M78:M80"/>
    <mergeCell ref="N78:N80"/>
    <mergeCell ref="Y83:AA83"/>
    <mergeCell ref="Y84:AA84"/>
  </mergeCells>
  <conditionalFormatting sqref="L11:N11 L12:M13 L18:N18">
    <cfRule type="expression" priority="1104" dxfId="51" stopIfTrue="1">
      <formula>$C13=1</formula>
    </cfRule>
  </conditionalFormatting>
  <conditionalFormatting sqref="O11 O18">
    <cfRule type="expression" priority="1176" dxfId="1" stopIfTrue="1">
      <formula>$B13=FALSE</formula>
    </cfRule>
    <cfRule type="expression" priority="1177" dxfId="0" stopIfTrue="1">
      <formula>$C13=1</formula>
    </cfRule>
  </conditionalFormatting>
  <conditionalFormatting sqref="P12:W12">
    <cfRule type="expression" priority="1166" dxfId="6" stopIfTrue="1">
      <formula>AND(ISNUMBER(O13),O13&gt;=$N11)</formula>
    </cfRule>
    <cfRule type="cellIs" priority="1167" dxfId="3" operator="notBetween" stopIfTrue="1">
      <formula>0</formula>
      <formula>1</formula>
    </cfRule>
  </conditionalFormatting>
  <conditionalFormatting sqref="P13:W13">
    <cfRule type="expression" priority="1168" dxfId="4" stopIfTrue="1">
      <formula>AND(ISNUMBER(O13),O13&gt;=$N11)</formula>
    </cfRule>
    <cfRule type="cellIs" priority="1169" dxfId="3" operator="notBetween" stopIfTrue="1">
      <formula>0</formula>
      <formula>$N11</formula>
    </cfRule>
  </conditionalFormatting>
  <conditionalFormatting sqref="P14:W14">
    <cfRule type="expression" priority="1170" dxfId="4" stopIfTrue="1">
      <formula>AND(ISNUMBER(O17),O17&gt;=$N14)</formula>
    </cfRule>
  </conditionalFormatting>
  <conditionalFormatting sqref="P15:W15">
    <cfRule type="expression" priority="1171" dxfId="4" stopIfTrue="1">
      <formula>AND(ISNUMBER(O17),O17&gt;=$N14)</formula>
    </cfRule>
  </conditionalFormatting>
  <conditionalFormatting sqref="P16:W16">
    <cfRule type="expression" priority="1172" dxfId="4" stopIfTrue="1">
      <formula>AND(ISNUMBER(O17),O17&gt;=$N14)</formula>
    </cfRule>
    <cfRule type="cellIs" priority="1173" dxfId="3" operator="notBetween" stopIfTrue="1">
      <formula>0</formula>
      <formula>1</formula>
    </cfRule>
  </conditionalFormatting>
  <conditionalFormatting sqref="P17:W17">
    <cfRule type="expression" priority="1174" dxfId="4" stopIfTrue="1">
      <formula>AND(ISNUMBER(O17),O17&gt;=$N14)</formula>
    </cfRule>
    <cfRule type="cellIs" priority="1175" dxfId="3" operator="notBetween" stopIfTrue="1">
      <formula>0</formula>
      <formula>$N14</formula>
    </cfRule>
  </conditionalFormatting>
  <conditionalFormatting sqref="L8">
    <cfRule type="cellIs" priority="1161" dxfId="3" operator="notEqual" stopIfTrue="1">
      <formula>""</formula>
    </cfRule>
  </conditionalFormatting>
  <conditionalFormatting sqref="N9">
    <cfRule type="expression" priority="1160" dxfId="103" stopIfTrue="1">
      <formula>TipoOrçamento&lt;&gt;"REPROGRAMADOAC"</formula>
    </cfRule>
  </conditionalFormatting>
  <conditionalFormatting sqref="L19:M20">
    <cfRule type="expression" priority="1995" dxfId="51" stopIfTrue="1">
      <formula>#REF!=1</formula>
    </cfRule>
  </conditionalFormatting>
  <conditionalFormatting sqref="P11:W11">
    <cfRule type="expression" priority="315" dxfId="2" stopIfTrue="1">
      <formula>AND(ISNUMBER(O13),O13&gt;=$N11)</formula>
    </cfRule>
    <cfRule type="expression" priority="316" dxfId="1" stopIfTrue="1">
      <formula>$B13=FALSE</formula>
    </cfRule>
    <cfRule type="expression" priority="317" dxfId="0" stopIfTrue="1">
      <formula>$C13=1</formula>
    </cfRule>
  </conditionalFormatting>
  <conditionalFormatting sqref="P19:W19">
    <cfRule type="expression" priority="266" dxfId="6" stopIfTrue="1">
      <formula>AND(ISNUMBER(O20),O20&gt;=$N18)</formula>
    </cfRule>
    <cfRule type="cellIs" priority="267" dxfId="3" operator="notBetween" stopIfTrue="1">
      <formula>0</formula>
      <formula>1</formula>
    </cfRule>
  </conditionalFormatting>
  <conditionalFormatting sqref="P20:W20">
    <cfRule type="expression" priority="268" dxfId="4" stopIfTrue="1">
      <formula>AND(ISNUMBER(O20),O20&gt;=$N18)</formula>
    </cfRule>
    <cfRule type="cellIs" priority="269" dxfId="3" operator="notBetween" stopIfTrue="1">
      <formula>0</formula>
      <formula>$N18</formula>
    </cfRule>
  </conditionalFormatting>
  <conditionalFormatting sqref="O10:W10">
    <cfRule type="expression" priority="238" dxfId="17" stopIfTrue="1">
      <formula>1=1</formula>
    </cfRule>
  </conditionalFormatting>
  <conditionalFormatting sqref="P18:W18">
    <cfRule type="expression" priority="193" dxfId="2" stopIfTrue="1">
      <formula>AND(ISNUMBER(O20),O20&gt;=$N18)</formula>
    </cfRule>
    <cfRule type="expression" priority="194" dxfId="1" stopIfTrue="1">
      <formula>$B20=FALSE</formula>
    </cfRule>
    <cfRule type="expression" priority="195" dxfId="0" stopIfTrue="1">
      <formula>$C20=1</formula>
    </cfRule>
  </conditionalFormatting>
  <conditionalFormatting sqref="AK18">
    <cfRule type="expression" priority="113" dxfId="2" stopIfTrue="1">
      <formula>AND(ISNUMBER(AJ20),AJ20&gt;=$N18)</formula>
    </cfRule>
    <cfRule type="expression" priority="114" dxfId="1" stopIfTrue="1">
      <formula>$B20=FALSE</formula>
    </cfRule>
    <cfRule type="expression" priority="115" dxfId="0" stopIfTrue="1">
      <formula>$C20=1</formula>
    </cfRule>
  </conditionalFormatting>
  <conditionalFormatting sqref="AK12">
    <cfRule type="expression" priority="128" dxfId="6" stopIfTrue="1">
      <formula>AND(ISNUMBER(AJ13),AJ13&gt;=$N11)</formula>
    </cfRule>
    <cfRule type="cellIs" priority="129" dxfId="3" operator="notBetween" stopIfTrue="1">
      <formula>0</formula>
      <formula>1</formula>
    </cfRule>
  </conditionalFormatting>
  <conditionalFormatting sqref="AK13">
    <cfRule type="expression" priority="130" dxfId="4" stopIfTrue="1">
      <formula>AND(ISNUMBER(AJ13),AJ13&gt;=$N11)</formula>
    </cfRule>
    <cfRule type="cellIs" priority="131" dxfId="3" operator="notBetween" stopIfTrue="1">
      <formula>0</formula>
      <formula>$N11</formula>
    </cfRule>
  </conditionalFormatting>
  <conditionalFormatting sqref="AK14">
    <cfRule type="expression" priority="132" dxfId="4" stopIfTrue="1">
      <formula>AND(ISNUMBER(AJ17),AJ17&gt;=$N14)</formula>
    </cfRule>
  </conditionalFormatting>
  <conditionalFormatting sqref="AK15">
    <cfRule type="expression" priority="133" dxfId="4" stopIfTrue="1">
      <formula>AND(ISNUMBER(AJ17),AJ17&gt;=$N14)</formula>
    </cfRule>
  </conditionalFormatting>
  <conditionalFormatting sqref="AK16">
    <cfRule type="expression" priority="134" dxfId="4" stopIfTrue="1">
      <formula>AND(ISNUMBER(AJ17),AJ17&gt;=$N14)</formula>
    </cfRule>
    <cfRule type="cellIs" priority="135" dxfId="3" operator="notBetween" stopIfTrue="1">
      <formula>0</formula>
      <formula>1</formula>
    </cfRule>
  </conditionalFormatting>
  <conditionalFormatting sqref="AK17">
    <cfRule type="expression" priority="136" dxfId="4" stopIfTrue="1">
      <formula>AND(ISNUMBER(AJ17),AJ17&gt;=$N14)</formula>
    </cfRule>
    <cfRule type="cellIs" priority="137" dxfId="3" operator="notBetween" stopIfTrue="1">
      <formula>0</formula>
      <formula>$N14</formula>
    </cfRule>
  </conditionalFormatting>
  <conditionalFormatting sqref="AK11">
    <cfRule type="expression" priority="125" dxfId="2" stopIfTrue="1">
      <formula>AND(ISNUMBER(AJ13),AJ13&gt;=$N11)</formula>
    </cfRule>
    <cfRule type="expression" priority="126" dxfId="1" stopIfTrue="1">
      <formula>$B13=FALSE</formula>
    </cfRule>
    <cfRule type="expression" priority="127" dxfId="0" stopIfTrue="1">
      <formula>$C13=1</formula>
    </cfRule>
  </conditionalFormatting>
  <conditionalFormatting sqref="AK19">
    <cfRule type="expression" priority="121" dxfId="6" stopIfTrue="1">
      <formula>AND(ISNUMBER(AJ20),AJ20&gt;=$N18)</formula>
    </cfRule>
    <cfRule type="cellIs" priority="122" dxfId="3" operator="notBetween" stopIfTrue="1">
      <formula>0</formula>
      <formula>1</formula>
    </cfRule>
  </conditionalFormatting>
  <conditionalFormatting sqref="AK20">
    <cfRule type="expression" priority="123" dxfId="4" stopIfTrue="1">
      <formula>AND(ISNUMBER(AJ20),AJ20&gt;=$N18)</formula>
    </cfRule>
    <cfRule type="cellIs" priority="124" dxfId="3" operator="notBetween" stopIfTrue="1">
      <formula>0</formula>
      <formula>$N18</formula>
    </cfRule>
  </conditionalFormatting>
  <conditionalFormatting sqref="AK10">
    <cfRule type="expression" priority="116" dxfId="17" stopIfTrue="1">
      <formula>1=1</formula>
    </cfRule>
  </conditionalFormatting>
  <conditionalFormatting sqref="L21:N21 L24:N24 L27:N27 L30:N30 L33:N33 L22:M23 L25:M26 L28:M29 L31:M32">
    <cfRule type="expression" priority="63" dxfId="51" stopIfTrue="1">
      <formula>$C23=1</formula>
    </cfRule>
  </conditionalFormatting>
  <conditionalFormatting sqref="O21 O24 O27 O30 O33">
    <cfRule type="expression" priority="68" dxfId="1" stopIfTrue="1">
      <formula>$B23=FALSE</formula>
    </cfRule>
    <cfRule type="expression" priority="69" dxfId="0" stopIfTrue="1">
      <formula>$C23=1</formula>
    </cfRule>
  </conditionalFormatting>
  <conditionalFormatting sqref="P22:W22 P25:W25 P28:W28 P31:W31 P34:W34">
    <cfRule type="expression" priority="64" dxfId="6" stopIfTrue="1">
      <formula>AND(ISNUMBER(O23),O23&gt;=$N21)</formula>
    </cfRule>
    <cfRule type="cellIs" priority="65" dxfId="3" operator="notBetween" stopIfTrue="1">
      <formula>0</formula>
      <formula>1</formula>
    </cfRule>
  </conditionalFormatting>
  <conditionalFormatting sqref="P23:W23 P26:W26 P29:W29 P32:W32 P35:W35">
    <cfRule type="expression" priority="66" dxfId="4" stopIfTrue="1">
      <formula>AND(ISNUMBER(O23),O23&gt;=$N21)</formula>
    </cfRule>
    <cfRule type="cellIs" priority="67" dxfId="3" operator="notBetween" stopIfTrue="1">
      <formula>0</formula>
      <formula>$N21</formula>
    </cfRule>
  </conditionalFormatting>
  <conditionalFormatting sqref="P21:W21 P24:W24 P27:W27 P30:W30 P33:W33">
    <cfRule type="expression" priority="60" dxfId="2" stopIfTrue="1">
      <formula>AND(ISNUMBER(O23),O23&gt;=$N21)</formula>
    </cfRule>
    <cfRule type="expression" priority="61" dxfId="1" stopIfTrue="1">
      <formula>$B23=FALSE</formula>
    </cfRule>
    <cfRule type="expression" priority="62" dxfId="0" stopIfTrue="1">
      <formula>$C23=1</formula>
    </cfRule>
  </conditionalFormatting>
  <conditionalFormatting sqref="AK22 AK25 AK28 AK31 AK34">
    <cfRule type="expression" priority="56" dxfId="6" stopIfTrue="1">
      <formula>AND(ISNUMBER(AJ23),AJ23&gt;=$N21)</formula>
    </cfRule>
    <cfRule type="cellIs" priority="57" dxfId="3" operator="notBetween" stopIfTrue="1">
      <formula>0</formula>
      <formula>1</formula>
    </cfRule>
  </conditionalFormatting>
  <conditionalFormatting sqref="AK23 AK26 AK29 AK32 AK35">
    <cfRule type="expression" priority="58" dxfId="4" stopIfTrue="1">
      <formula>AND(ISNUMBER(AJ23),AJ23&gt;=$N21)</formula>
    </cfRule>
    <cfRule type="cellIs" priority="59" dxfId="3" operator="notBetween" stopIfTrue="1">
      <formula>0</formula>
      <formula>$N21</formula>
    </cfRule>
  </conditionalFormatting>
  <conditionalFormatting sqref="AK21 AK24 AK27 AK30 AK33">
    <cfRule type="expression" priority="53" dxfId="2" stopIfTrue="1">
      <formula>AND(ISNUMBER(AJ23),AJ23&gt;=$N21)</formula>
    </cfRule>
    <cfRule type="expression" priority="54" dxfId="1" stopIfTrue="1">
      <formula>$B23=FALSE</formula>
    </cfRule>
    <cfRule type="expression" priority="55" dxfId="0" stopIfTrue="1">
      <formula>$C23=1</formula>
    </cfRule>
  </conditionalFormatting>
  <conditionalFormatting sqref="L34:M35">
    <cfRule type="expression" priority="3757" dxfId="51" stopIfTrue="1">
      <formula>$C81=1</formula>
    </cfRule>
  </conditionalFormatting>
  <conditionalFormatting sqref="L36:N36 L39:N39 L42:N42 L45:N45 L48:N48 L51:N51 L54:N54 L57:N57 L60:N60 L63:N63 L66:N66 L69:N69 L72:N72 L75:N75 L78:N78 L37:M38 L40:M41 L43:M44 L46:M47 L49:M50 L52:M53 L55:M56 L58:M59 L61:M62 L64:M65 L67:M68 L70:M71 L73:M74 L76:M77 L79:M80">
    <cfRule type="expression" priority="46" dxfId="51" stopIfTrue="1">
      <formula>$C38=1</formula>
    </cfRule>
  </conditionalFormatting>
  <conditionalFormatting sqref="O36 O39 O42 O45 O48 O51 O54 O57 O60 O63 O66 O69 O72 O75 O78">
    <cfRule type="expression" priority="51" dxfId="1" stopIfTrue="1">
      <formula>$B38=FALSE</formula>
    </cfRule>
    <cfRule type="expression" priority="52" dxfId="0" stopIfTrue="1">
      <formula>$C38=1</formula>
    </cfRule>
  </conditionalFormatting>
  <conditionalFormatting sqref="P37:W37 P40:W40 P43:W43 P46:W46 P49:W49 P52:W52 P55:W55 P58:W58 P61:W61 P64:W64 P67:W67 P70:W70 P73:W73 P76:W76 P79:W79">
    <cfRule type="expression" priority="47" dxfId="6" stopIfTrue="1">
      <formula>AND(ISNUMBER(O38),O38&gt;=$N36)</formula>
    </cfRule>
    <cfRule type="cellIs" priority="48" dxfId="3" operator="notBetween" stopIfTrue="1">
      <formula>0</formula>
      <formula>1</formula>
    </cfRule>
  </conditionalFormatting>
  <conditionalFormatting sqref="P38:W38 P41:W41 P44:W44 P47:W47 P50:W50 P53:W53 P56:W56 P59:W59 P62:W62 P65:W65 P68:W68 P71:W71 P74:W74 P77:W77 P80:W80">
    <cfRule type="expression" priority="49" dxfId="4" stopIfTrue="1">
      <formula>AND(ISNUMBER(O38),O38&gt;=$N36)</formula>
    </cfRule>
    <cfRule type="cellIs" priority="50" dxfId="3" operator="notBetween" stopIfTrue="1">
      <formula>0</formula>
      <formula>$N36</formula>
    </cfRule>
  </conditionalFormatting>
  <conditionalFormatting sqref="P36:W36 P39:W39 P42:W42 P45:W45 P48:W48 P51:W51 P54:W54 P57:W57 P60:W60 P63:W63 P66:W66 P69:W69 P72:W72 P75:W75 P78:W78">
    <cfRule type="expression" priority="43" dxfId="2" stopIfTrue="1">
      <formula>AND(ISNUMBER(O38),O38&gt;=$N36)</formula>
    </cfRule>
    <cfRule type="expression" priority="44" dxfId="1" stopIfTrue="1">
      <formula>$B38=FALSE</formula>
    </cfRule>
    <cfRule type="expression" priority="45" dxfId="0" stopIfTrue="1">
      <formula>$C38=1</formula>
    </cfRule>
  </conditionalFormatting>
  <conditionalFormatting sqref="AK37 AK40 AK43 AK46 AK49 AK52 AK55 AK58 AK61 AK64 AK67 AK70 AK73 AK76 AK79">
    <cfRule type="expression" priority="39" dxfId="6" stopIfTrue="1">
      <formula>AND(ISNUMBER(AJ38),AJ38&gt;=$N36)</formula>
    </cfRule>
    <cfRule type="cellIs" priority="40" dxfId="3" operator="notBetween" stopIfTrue="1">
      <formula>0</formula>
      <formula>1</formula>
    </cfRule>
  </conditionalFormatting>
  <conditionalFormatting sqref="AK38 AK41 AK44 AK47 AK50 AK53 AK56 AK59 AK62 AK65 AK68 AK71 AK74 AK77 AK80">
    <cfRule type="expression" priority="41" dxfId="4" stopIfTrue="1">
      <formula>AND(ISNUMBER(AJ38),AJ38&gt;=$N36)</formula>
    </cfRule>
    <cfRule type="cellIs" priority="42" dxfId="3" operator="notBetween" stopIfTrue="1">
      <formula>0</formula>
      <formula>$N36</formula>
    </cfRule>
  </conditionalFormatting>
  <conditionalFormatting sqref="AK36 AK39 AK42 AK45 AK48 AK51 AK54 AK57 AK60 AK63 AK66 AK69 AK72 AK75 AK78">
    <cfRule type="expression" priority="36" dxfId="2" stopIfTrue="1">
      <formula>AND(ISNUMBER(AJ38),AJ38&gt;=$N36)</formula>
    </cfRule>
    <cfRule type="expression" priority="37" dxfId="1" stopIfTrue="1">
      <formula>$B38=FALSE</formula>
    </cfRule>
    <cfRule type="expression" priority="38" dxfId="0" stopIfTrue="1">
      <formula>$C38=1</formula>
    </cfRule>
  </conditionalFormatting>
  <conditionalFormatting sqref="X12:AE12">
    <cfRule type="expression" priority="26" dxfId="6" stopIfTrue="1">
      <formula>AND(ISNUMBER(W13),W13&gt;=$N11)</formula>
    </cfRule>
    <cfRule type="cellIs" priority="27" dxfId="3" operator="notBetween" stopIfTrue="1">
      <formula>0</formula>
      <formula>1</formula>
    </cfRule>
  </conditionalFormatting>
  <conditionalFormatting sqref="X13:AE13">
    <cfRule type="expression" priority="28" dxfId="4" stopIfTrue="1">
      <formula>AND(ISNUMBER(W13),W13&gt;=$N11)</formula>
    </cfRule>
    <cfRule type="cellIs" priority="29" dxfId="3" operator="notBetween" stopIfTrue="1">
      <formula>0</formula>
      <formula>$N11</formula>
    </cfRule>
  </conditionalFormatting>
  <conditionalFormatting sqref="X14:AE14">
    <cfRule type="expression" priority="30" dxfId="4" stopIfTrue="1">
      <formula>AND(ISNUMBER(W17),W17&gt;=$N14)</formula>
    </cfRule>
  </conditionalFormatting>
  <conditionalFormatting sqref="X15:AE15">
    <cfRule type="expression" priority="31" dxfId="4" stopIfTrue="1">
      <formula>AND(ISNUMBER(W17),W17&gt;=$N14)</formula>
    </cfRule>
  </conditionalFormatting>
  <conditionalFormatting sqref="X16:AE16">
    <cfRule type="expression" priority="32" dxfId="4" stopIfTrue="1">
      <formula>AND(ISNUMBER(W17),W17&gt;=$N14)</formula>
    </cfRule>
    <cfRule type="cellIs" priority="33" dxfId="3" operator="notBetween" stopIfTrue="1">
      <formula>0</formula>
      <formula>1</formula>
    </cfRule>
  </conditionalFormatting>
  <conditionalFormatting sqref="X17:AE17">
    <cfRule type="expression" priority="34" dxfId="4" stopIfTrue="1">
      <formula>AND(ISNUMBER(W17),W17&gt;=$N14)</formula>
    </cfRule>
    <cfRule type="cellIs" priority="35" dxfId="3" operator="notBetween" stopIfTrue="1">
      <formula>0</formula>
      <formula>$N14</formula>
    </cfRule>
  </conditionalFormatting>
  <conditionalFormatting sqref="X11:AE11">
    <cfRule type="expression" priority="23" dxfId="2" stopIfTrue="1">
      <formula>AND(ISNUMBER(W13),W13&gt;=$N11)</formula>
    </cfRule>
    <cfRule type="expression" priority="24" dxfId="1" stopIfTrue="1">
      <formula>$B13=FALSE</formula>
    </cfRule>
    <cfRule type="expression" priority="25" dxfId="0" stopIfTrue="1">
      <formula>$C13=1</formula>
    </cfRule>
  </conditionalFormatting>
  <conditionalFormatting sqref="X19:AE19">
    <cfRule type="expression" priority="19" dxfId="6" stopIfTrue="1">
      <formula>AND(ISNUMBER(W20),W20&gt;=$N18)</formula>
    </cfRule>
    <cfRule type="cellIs" priority="20" dxfId="3" operator="notBetween" stopIfTrue="1">
      <formula>0</formula>
      <formula>1</formula>
    </cfRule>
  </conditionalFormatting>
  <conditionalFormatting sqref="X20:AE20">
    <cfRule type="expression" priority="21" dxfId="4" stopIfTrue="1">
      <formula>AND(ISNUMBER(W20),W20&gt;=$N18)</formula>
    </cfRule>
    <cfRule type="cellIs" priority="22" dxfId="3" operator="notBetween" stopIfTrue="1">
      <formula>0</formula>
      <formula>$N18</formula>
    </cfRule>
  </conditionalFormatting>
  <conditionalFormatting sqref="X10:AE10">
    <cfRule type="expression" priority="18" dxfId="17" stopIfTrue="1">
      <formula>1=1</formula>
    </cfRule>
  </conditionalFormatting>
  <conditionalFormatting sqref="X18:AE18">
    <cfRule type="expression" priority="15" dxfId="2" stopIfTrue="1">
      <formula>AND(ISNUMBER(W20),W20&gt;=$N18)</formula>
    </cfRule>
    <cfRule type="expression" priority="16" dxfId="1" stopIfTrue="1">
      <formula>$B20=FALSE</formula>
    </cfRule>
    <cfRule type="expression" priority="17" dxfId="0" stopIfTrue="1">
      <formula>$C20=1</formula>
    </cfRule>
  </conditionalFormatting>
  <conditionalFormatting sqref="X22:AE22 X25:AE25 X28:AE28 X31:AE31 X34:AE34">
    <cfRule type="expression" priority="11" dxfId="6" stopIfTrue="1">
      <formula>AND(ISNUMBER(W23),W23&gt;=$N21)</formula>
    </cfRule>
    <cfRule type="cellIs" priority="12" dxfId="3" operator="notBetween" stopIfTrue="1">
      <formula>0</formula>
      <formula>1</formula>
    </cfRule>
  </conditionalFormatting>
  <conditionalFormatting sqref="X23:AE23 X26:AE26 X29:AE29 X32:AE32 X35:AE35">
    <cfRule type="expression" priority="13" dxfId="4" stopIfTrue="1">
      <formula>AND(ISNUMBER(W23),W23&gt;=$N21)</formula>
    </cfRule>
    <cfRule type="cellIs" priority="14" dxfId="3" operator="notBetween" stopIfTrue="1">
      <formula>0</formula>
      <formula>$N21</formula>
    </cfRule>
  </conditionalFormatting>
  <conditionalFormatting sqref="X21:AE21 X24:AE24 X27:AE27 X30:AE30 X33:AE33">
    <cfRule type="expression" priority="8" dxfId="2" stopIfTrue="1">
      <formula>AND(ISNUMBER(W23),W23&gt;=$N21)</formula>
    </cfRule>
    <cfRule type="expression" priority="9" dxfId="1" stopIfTrue="1">
      <formula>$B23=FALSE</formula>
    </cfRule>
    <cfRule type="expression" priority="10" dxfId="0" stopIfTrue="1">
      <formula>$C23=1</formula>
    </cfRule>
  </conditionalFormatting>
  <conditionalFormatting sqref="X37:AE37 X40:AE40 X43:AE43 X46:AE46 X49:AE49 X52:AE52 X55:AE55 X58:AE58 X61:AE61 X64:AE64 X67:AE67 X70:AE70 X73:AE73 X76:AE76 X79:AE79">
    <cfRule type="expression" priority="4" dxfId="6" stopIfTrue="1">
      <formula>AND(ISNUMBER(W38),W38&gt;=$N36)</formula>
    </cfRule>
    <cfRule type="cellIs" priority="5" dxfId="3" operator="notBetween" stopIfTrue="1">
      <formula>0</formula>
      <formula>1</formula>
    </cfRule>
  </conditionalFormatting>
  <conditionalFormatting sqref="X38:AE38 X41:AE41 X44:AE44 X47:AE47 X50:AE50 X53:AE53 X56:AE56 X59:AE59 X62:AE62 X65:AE65 X68:AE68 X71:AE71 X74:AE74 X77:AE77 X80:AE80">
    <cfRule type="expression" priority="6" dxfId="4" stopIfTrue="1">
      <formula>AND(ISNUMBER(W38),W38&gt;=$N36)</formula>
    </cfRule>
    <cfRule type="cellIs" priority="7" dxfId="3" operator="notBetween" stopIfTrue="1">
      <formula>0</formula>
      <formula>$N36</formula>
    </cfRule>
  </conditionalFormatting>
  <conditionalFormatting sqref="X36:AE36 X39:AE39 X42:AE42 X45:AE45 X48:AE48 X51:AE51 X54:AE54 X57:AE57 X60:AE60 X63:AE63 X66:AE66 X69:AE69 X72:AE72 X75:AE75 X78:AE78">
    <cfRule type="expression" priority="1" dxfId="2" stopIfTrue="1">
      <formula>AND(ISNUMBER(W38),W38&gt;=$N36)</formula>
    </cfRule>
    <cfRule type="expression" priority="2" dxfId="1" stopIfTrue="1">
      <formula>$B38=FALSE</formula>
    </cfRule>
    <cfRule type="expression" priority="3" dxfId="0" stopIfTrue="1">
      <formula>$C38=1</formula>
    </cfRule>
  </conditionalFormatting>
  <dataValidations count="2">
    <dataValidation type="whole" operator="greaterThanOrEqual" allowBlank="1" showInputMessage="1" showErrorMessage="1" promptTitle="Qtde de Medições já realizadas:" prompt="Digite a quantidade de medições já realizadas para o CTEF antes da Reprogramação." errorTitle="Erro de Valor" error="Digite somente números inteiros positivos." sqref="N9">
      <formula1>0</formula1>
    </dataValidation>
    <dataValidation type="decimal" allowBlank="1" showInputMessage="1" showErrorMessage="1" errorTitle="Erro de Dados" error="Digite valores maiores ou iguais à 0%. O % acumulado não deve ultrapassar 100%." sqref="P18:AE18 P21:AE21 AK11 AK18 P24:AE24 P27:AE27 P30:AE30 P33:AE33 P36:AE36 AK21 AK24 AK27 AK30 AK33 P39:AE39 P42:AE42 P45:AE45 P48:AE48 P51:AE51 P54:AE54 P57:AE57 P60:AE60 P63:AE63 P66:AE66 P69:AE69 P72:AE72 P75:AE75 P78:AE78 AK78 AK36 AK39 AK42 AK45 AK48 AK51 AK54 AK57 AK60 AK63 AK66 AK69 AK72 AK75 P11:AE11">
      <formula1>0</formula1>
      <formula2>1-SUM($P11:P11)+P11</formula2>
    </dataValidation>
  </dataValidations>
  <printOptions horizontalCentered="1"/>
  <pageMargins left="0.7874015748031497" right="0.7874015748031497" top="0.7874015748031497" bottom="0.7874015748031497" header="0.5905511811023623" footer="0.5905511811023623"/>
  <pageSetup fitToHeight="0" fitToWidth="0" horizontalDpi="600" verticalDpi="600" orientation="landscape" paperSize="9" scale="62" r:id="rId3"/>
  <headerFooter alignWithMargins="0">
    <oddHeader>&amp;C&amp;14I</oddHeader>
    <oddFooter>&amp;L27.476 v008   micro&amp;R&amp;P</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Usuário</dc:creator>
  <cp:keywords/>
  <dc:description/>
  <cp:lastModifiedBy>rossa</cp:lastModifiedBy>
  <cp:lastPrinted>2023-07-12T12:46:14Z</cp:lastPrinted>
  <dcterms:created xsi:type="dcterms:W3CDTF">1998-03-27T18:43:07Z</dcterms:created>
  <dcterms:modified xsi:type="dcterms:W3CDTF">2023-08-10T13:58:49Z</dcterms:modified>
  <cp:category/>
  <cp:version/>
  <cp:contentType/>
  <cp:contentStatus/>
</cp:coreProperties>
</file>