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codeName="{85106AD5-7665-2F1B-BB0A-E31DD656B090}"/>
  <workbookPr codeName="EstaPasta_de_trabalho"/>
  <workbookProtection workbookAlgorithmName="SHA-512" workbookHashValue="LOvVKTXnOUtpAGGE0ydRnazuvdCbre5f7MGIRakoGiIwif60HZfL/ZCjQue2QfwdeEPeAmf+BCUtZHkMoKlAwg==" workbookSpinCount="100000" workbookSaltValue="APgBu2TP+mp6iVa5Q1doHg==" lockStructure="1"/>
  <bookViews>
    <workbookView xWindow="65428" yWindow="65428" windowWidth="23256" windowHeight="12456" activeTab="2"/>
  </bookViews>
  <sheets>
    <sheet name="DADOS" sheetId="16" r:id="rId1"/>
    <sheet name="BDI (1)" sheetId="17" r:id="rId2"/>
    <sheet name="PO" sheetId="12" r:id="rId3"/>
    <sheet name="PLQ" sheetId="13" r:id="rId4"/>
    <sheet name="CFF" sheetId="11" r:id="rId5"/>
  </sheets>
  <definedNames>
    <definedName name="_xlnm.Print_Area" localSheetId="1">'BDI (1)'!$I$1:$R$50</definedName>
    <definedName name="_xlnm.Print_Area" localSheetId="4">'CFF'!$L$1:$X$66</definedName>
    <definedName name="_xlnm.Print_Area" localSheetId="0">'DADOS'!$A$1:$X$87</definedName>
    <definedName name="_xlnm.Print_Area" localSheetId="3">'PLQ'!$B$1:$P$63</definedName>
    <definedName name="_xlnm.Print_Area" localSheetId="2">'PO'!$K$1:$T$72</definedName>
    <definedName name="DATABASE">TEXT(Import.DataBase,"mm-aaaa")</definedName>
    <definedName name="CFF.ColunaPadrão">'CFF'!$AC:$AC</definedName>
    <definedName name="CFF.Colunas">'CFF'!$P$10:$X$10</definedName>
    <definedName name="CFF.Dados">OFFSET('CFF'!$L$17,1,0):OFFSET('CFF'!$X$60,-1,-1)</definedName>
    <definedName name="CFF.IncluirLinha">MAX('PO'!$V$12:$V$57)*CFF.NumLinha-ROW('CFF'!$F$60)+ROW('CFF'!$F$17)+1</definedName>
    <definedName name="CFF.Item">OFFSET('CFF'!$L$17,1,0):OFFSET('CFF'!$X$60,-1,-1)</definedName>
    <definedName name="CFF.LinhaPadrão">'CFF'!$A$11:$W$11</definedName>
    <definedName name="CFF.NumLinha">ROW('CFF'!$D$14)-ROW('CFF'!$D$10)-1</definedName>
    <definedName name="Código" localSheetId="2">'PO'!$M1</definedName>
    <definedName name="Composições.LinhaPadrão">#REF!</definedName>
    <definedName name="Cotações.LinhaPadrão">#REF!</definedName>
    <definedName name="Dados.Assinatura1">'DADOS'!$B$54:$E$57</definedName>
    <definedName name="Dados.Assinatura2">'DADOS'!$H$54:$K$57</definedName>
    <definedName name="Dados.Lista.Acompanhamento">'DADOS'!$P$122:$P$123</definedName>
    <definedName name="Dados.Lista.BDI">'DADOS'!$T$37:$X$37</definedName>
    <definedName name="Dados.Lista.Localidade">'DADOS'!$L$107:$L$134</definedName>
    <definedName name="Dados.Lista.RegimeExecução">'DADOS'!$P$115:$P$120</definedName>
    <definedName name="EXCELVERSAO">IF(MID(INFO("SOLTAR"),1,2)*1&lt;=11,"Excel 2003","Superior")</definedName>
    <definedName name="Fonte" localSheetId="2">'PO'!$L1</definedName>
    <definedName name="Import.Ação">'DADOS'!$J$29</definedName>
    <definedName name="Import.Apelido">'DADOS'!$Q$32</definedName>
    <definedName name="Import.CNPJ">'DADOS'!$B$57</definedName>
    <definedName name="Import.Código">OFFSET('PO'!$M$12,1,0):OFFSET('PO'!$M$57,-1,0)</definedName>
    <definedName name="Import.CR">'DADOS'!$A$29</definedName>
    <definedName name="Import.CTEF">'DADOS'!$A$43</definedName>
    <definedName name="Import.CustoUnitário">OFFSET('PO'!$Q$12,1,0):OFFSET('PO'!$Q$57,-1,0)</definedName>
    <definedName name="Import.DadosBDI">'DADOS'!$S$108:$S$112</definedName>
    <definedName name="Import.DataAssinaturaCTEF">'DADOS'!$U$43</definedName>
    <definedName name="Import.DataBase">'DADOS'!$A$38</definedName>
    <definedName name="Import.DataBaseLicit">'DADOS'!$H$43</definedName>
    <definedName name="Import.DataCot">OFFSET(#REF!,1,0):OFFSET(#REF!,-1,0)</definedName>
    <definedName name="Import.DataCotIndice">OFFSET(#REF!,1,0):OFFSET(#REF!,-1,0)</definedName>
    <definedName name="Import.DataInícioObra">'DADOS'!$A$48</definedName>
    <definedName name="Import.DescComp">OFFSET(#REF!,1,0):OFFSET(#REF!,-1,0)</definedName>
    <definedName name="Import.DescCot">OFFSET(#REF!,1,0):OFFSET(#REF!,-1,0)</definedName>
    <definedName name="Import.DescLote">'DADOS'!$G$38</definedName>
    <definedName name="Import.Descrição">OFFSET('PO'!$N$12,1,0):OFFSET('PO'!$N$57,-1,0)</definedName>
    <definedName name="Import.Desoneracao">'DADOS'!$C$38</definedName>
    <definedName name="Import.DesoneracaoLicit">'DADOS'!$J$43</definedName>
    <definedName name="Import.Empresa">'DADOS'!$C$43</definedName>
    <definedName name="Import.FontComp">OFFSET(#REF!,1,0):OFFSET(#REF!,-1,0)</definedName>
    <definedName name="Import.Fonte">OFFSET('PO'!$L$12,1,0):OFFSET('PO'!$L$57,-1,0)</definedName>
    <definedName name="Import.FrenteDeObra">'PLQ'!$F$9:OFFSET('PLQ'!$P$9,0,-1)</definedName>
    <definedName name="Import.Gestor">'DADOS'!$C$29</definedName>
    <definedName name="Import.IndiceAtual">OFFSET(#REF!,1,0):OFFSET(#REF!,-1,0)</definedName>
    <definedName name="Import.IndiceCot">OFFSET(#REF!,1,0):OFFSET(#REF!,-1,0)</definedName>
    <definedName name="Import.Item">OFFSET('PO'!$K$12,1,0):OFFSET('PO'!$K$57,-1,0)</definedName>
    <definedName name="Import.Localidade">'DADOS'!$K$32</definedName>
    <definedName name="Import.LocalSINAPI">'DADOS'!$D$38</definedName>
    <definedName name="Import.Município">'DADOS'!$G$32</definedName>
    <definedName name="Import.Nível">OFFSET('PO'!$J$12,1,0):OFFSET('PO'!$J$57,-1,0)</definedName>
    <definedName name="Import.NomeEmpresaForn">OFFSET(#REF!,1,0):OFFSET(#REF!,-1,0)</definedName>
    <definedName name="Import.ObjetoCR">'DADOS'!$P$29</definedName>
    <definedName name="Import.ObjetoCTEF">'DADOS'!$O$43</definedName>
    <definedName name="Import.ObsComp">OFFSET(#REF!,1,0):OFFSET(#REF!,-1,0)</definedName>
    <definedName name="Import.ObsCot">OFFSET(#REF!,1,0):OFFSET(#REF!,-1,0)</definedName>
    <definedName name="Import.ObsForn">OFFSET(#REF!,1,0):OFFSET(#REF!,-1,0)</definedName>
    <definedName name="Import.ObsIndice">OFFSET(#REF!,1,0):OFFSET(#REF!,-1,0)</definedName>
    <definedName name="Import.PLQ">OFFSET('PLQ'!$F$12,1,0):OFFSET('PLQ'!$P$57,-1,-1)</definedName>
    <definedName name="Import.POArred">'PO'!$X$3:$X$7</definedName>
    <definedName name="Import.PreçoTotal">OFFSET('PO'!$T$12,1,0):OFFSET('PO'!$T$57,-1,0)</definedName>
    <definedName name="Import.PreçoUnitário">OFFSET('PO'!$S$12,1,0):OFFSET('PO'!$S$57,-1,0)</definedName>
    <definedName name="Import.Programa">'DADOS'!$F$29</definedName>
    <definedName name="Import.Proponente">'DADOS'!$A$32</definedName>
    <definedName name="Import.Quantidade">OFFSET('PO'!$P$12,1,0):OFFSET('PO'!$P$57,-1,0)</definedName>
    <definedName name="Import.RegimeExecução">'DADOS'!$K$43</definedName>
    <definedName name="Import.TelefoneForn">OFFSET(#REF!,1,0):OFFSET(#REF!,-1,0)</definedName>
    <definedName name="Import.TipoComp">OFFSET(#REF!,1,0):OFFSET(#REF!,-1,0)</definedName>
    <definedName name="Import.TipoCot">OFFSET(#REF!,1,0):OFFSET(#REF!,-1,0)</definedName>
    <definedName name="Import.Unidade">OFFSET('PO'!$O$12,1,0):OFFSET('PO'!$O$57,-1,0)</definedName>
    <definedName name="Import.UnidadeComp">OFFSET(#REF!,1,0):OFFSET(#REF!,-1,0)</definedName>
    <definedName name="Import.UnidCot">OFFSET(#REF!,1,0):OFFSET(#REF!,-1,0)</definedName>
    <definedName name="Import.Valor1Indice">OFFSET(#REF!,1,0):OFFSET(#REF!,-1,0)</definedName>
    <definedName name="Import.Valor2Indice">OFFSET(#REF!,1,0):OFFSET(#REF!,-1,0)</definedName>
    <definedName name="Import.ValorBDI">OFFSET('PO'!$Z$12,1,0):OFFSET('PO'!$Z$57,-1,0)</definedName>
    <definedName name="Import.ValorCot">OFFSET(#REF!,1,0):OFFSET(#REF!,-1,0)</definedName>
    <definedName name="Import.Vigência">'DADOS'!$W$43</definedName>
    <definedName name="Índices.LinhaPadrão">#REF!</definedName>
    <definedName name="Linhacabeçalhodados">'DADOS'!$A$220:$X$220</definedName>
    <definedName name="LinhaEncargosSociais">'PO'!$K$58</definedName>
    <definedName name="linhaSINAPIxls" localSheetId="2">'PO'!$X1</definedName>
    <definedName name="ListaFornecedor">OFFSET(#REF!,0,0,MAX(#REF!)+1)</definedName>
    <definedName name="ListaIndice">OFFSET(#REF!,1,0,MAX(#REF!))</definedName>
    <definedName name="NMaxCrono">'CFF'!$A$9</definedName>
    <definedName name="Objeto">'DADOS'!$A$1</definedName>
    <definedName name="ORÇAMENTO.OpcaoCusto">'PO'!$Q$10</definedName>
    <definedName name="PLQ.ColunaPadrão">'PLQ'!$U:$U</definedName>
    <definedName name="PLQ.Colunas">'PLQ'!$F$10:$P$10</definedName>
    <definedName name="PLQ.FormulaQuant">'PLQ'!$E$7</definedName>
    <definedName name="PLQ.Item">'PLQ'!$B$9:OFFSET('PLQ'!$B$57,-1,0)</definedName>
    <definedName name="PLQ.LinhaPadrão">'PLQ'!$A$11:$P$11</definedName>
    <definedName name="PLQ.qtde.frentes">COUNTA('PLQ'!$F$9:$P$9)</definedName>
    <definedName name="PO.BDI">OFFSET('PO'!$R$12,1,0):OFFSET('PO'!$R$57,-1,0)</definedName>
    <definedName name="PO.CustoRef">OFFSET('PO'!$Y$12,1,0):OFFSET('PO'!$Y$57,-1,0)</definedName>
    <definedName name="PO.CustoUnitario">ROUND('PO'!$Q1,15-13*'PO'!$X$4)</definedName>
    <definedName name="PO.Dados">'PO'!$C$12:OFFSET('PO'!$Z$57,-1,0)</definedName>
    <definedName name="PO.FormulaQuant">'PO'!$P$9</definedName>
    <definedName name="PO.LinhaPadrão">'PO'!$C$11:$Z$11</definedName>
    <definedName name="PO.PrecoUnitario">ROUND('PO'!$S1,15-13*'PO'!$X$6)</definedName>
    <definedName name="PO.Quantidade">ROUND('PO'!$P1,15-13*'PO'!$X$3)</definedName>
    <definedName name="Referencia.Descricao">IF(ISNUMBER('PO'!linhaSINAPIxls),INDEX(INDIRECT("'[Referência "&amp;_XLNM.DATABASE&amp;".xls]Banco'!$b:$g"),'PO'!linhaSINAPIxls,3),"")</definedName>
    <definedName name="Referencia.Desonerado">IF(ISNUMBER('PO'!linhaSINAPIxls),VALUE(INDEX(INDIRECT("'[Referência "&amp;_XLNM.DATABASE&amp;".xls]Banco'!$b:$g"),'PO'!linhaSINAPIxls,5)),0)</definedName>
    <definedName name="Referencia.NaoDesonerado">IF(ISNUMBER('PO'!linhaSINAPIxls),VALUE(INDEX(INDIRECT("'[Referência "&amp;_XLNM.DATABASE&amp;".xls]Banco'!$b:$g"),'PO'!linhaSINAPIxls,6)),0)</definedName>
    <definedName name="Referencia.Unidade">IF(ISNUMBER('PO'!linhaSINAPIxls),INDEX(INDIRECT("'[Referência "&amp;_XLNM.DATABASE&amp;".xls]Banco'!$b:$g"),'PO'!linhaSINAPIxls,4),"")</definedName>
    <definedName name="SaldoPerc">1-IF(ISNUMBER('CFF'!XFD2),'CFF'!XFD2,0)</definedName>
    <definedName name="SENHAGT" hidden="1">"quantidades"</definedName>
    <definedName name="SomaAgrup">SUMIF(OFFSET('PO'!$A1,1,0,'PO'!$B1),"S",OFFSET('PO'!A1,1,0,'PO'!$B1))</definedName>
    <definedName name="TipoOrçamento">"BASE"</definedName>
    <definedName name="Versao">'DADOS'!$A$2</definedName>
    <definedName name="VTOTAL1">ROUND(PO.Quantidade*PO.PrecoUnitario,15-13*'PO'!$X$7)</definedName>
    <definedName name="_xlnm.Print_Titles" localSheetId="2">'PO'!$10:$10</definedName>
    <definedName name="_xlnm.Print_Titles" localSheetId="3">'PLQ'!$B:$E,'PLQ'!$9:$10</definedName>
    <definedName name="_xlnm.Print_Titles" localSheetId="4">'CFF'!$L:$O,'CFF'!$10:$10</definedName>
  </definedNames>
  <calcPr calcId="191029"/>
  <extLst/>
</workbook>
</file>

<file path=xl/sharedStrings.xml><?xml version="1.0" encoding="utf-8"?>
<sst xmlns="http://schemas.openxmlformats.org/spreadsheetml/2006/main" count="560" uniqueCount="269">
  <si>
    <t>OBJETO</t>
  </si>
  <si>
    <t>2.2 Na Versão Excel 2007 ou superior, selecione na Faixa de Opções: Arquivo --&gt; Opções --&gt; Central de Confiabilidade --&gt; Configurações da Central de Confiabilidade --&gt; Configurações de Macro --&gt; Habilitar todas as Macros --&gt; Clique em OK --&gt; Feche e abra o excel novamente para utilizar a Planilha.</t>
  </si>
  <si>
    <t>PO - Planilha Orçamentária / PLQ - Planilha de Levantamento de Quantidades / CFF - Cronograma Físico Financeiro</t>
  </si>
  <si>
    <t>Nível</t>
  </si>
  <si>
    <t>Código</t>
  </si>
  <si>
    <t>BDI
(%)</t>
  </si>
  <si>
    <t>Preço Total
(R$)</t>
  </si>
  <si>
    <t>BDI 1</t>
  </si>
  <si>
    <t>BDI 2</t>
  </si>
  <si>
    <t>BDI 3</t>
  </si>
  <si>
    <t>BDI 4</t>
  </si>
  <si>
    <t>BDI 5</t>
  </si>
  <si>
    <t>DESCRIÇÃO DO LOTE</t>
  </si>
  <si>
    <t>DESONERAÇÃO</t>
  </si>
  <si>
    <t>LOCALIDADE DO SINAPI</t>
  </si>
  <si>
    <t>DATA INÍCIO</t>
  </si>
  <si>
    <t>DATA BASE</t>
  </si>
  <si>
    <t>Título:</t>
  </si>
  <si>
    <t>Exibir o 2° Quadro de Assinatura?</t>
  </si>
  <si>
    <t>CRONOGRAMA GLOBAL DO LOTE</t>
  </si>
  <si>
    <t>Acumulado (R$)</t>
  </si>
  <si>
    <t>Observações:</t>
  </si>
  <si>
    <t xml:space="preserve">    CFF -</t>
  </si>
  <si>
    <r>
      <t xml:space="preserve">2. Para funcionamento pleno desse arquivo, a </t>
    </r>
    <r>
      <rPr>
        <b/>
        <sz val="10"/>
        <rFont val="Arial"/>
        <family val="2"/>
      </rPr>
      <t>Segurança de Macros do Excel deve ser habilitada</t>
    </r>
    <r>
      <rPr>
        <sz val="10"/>
        <rFont val="Arial"/>
        <family val="2"/>
      </rPr>
      <t>.</t>
    </r>
  </si>
  <si>
    <r>
      <t xml:space="preserve">3. O Preenchimento deve ser feito somente nas </t>
    </r>
    <r>
      <rPr>
        <b/>
        <sz val="10"/>
        <rFont val="Arial"/>
        <family val="2"/>
      </rPr>
      <t>células em amarelo</t>
    </r>
    <r>
      <rPr>
        <sz val="10"/>
        <rFont val="Arial"/>
        <family val="2"/>
      </rPr>
      <t>. As outras células são de preenchimento Automático.</t>
    </r>
  </si>
  <si>
    <t>MIN</t>
  </si>
  <si>
    <t>MED</t>
  </si>
  <si>
    <t>MAX</t>
  </si>
  <si>
    <t>Construção e Reforma de Edifícios</t>
  </si>
  <si>
    <t>AC</t>
  </si>
  <si>
    <t>SG</t>
  </si>
  <si>
    <t>R</t>
  </si>
  <si>
    <t>DF</t>
  </si>
  <si>
    <t>BDI PAD</t>
  </si>
  <si>
    <t>Construção de Praças Urbanas, Rodovias, Ferrovias e recapeamento e pavimentação de vias urbanas</t>
  </si>
  <si>
    <t>TIPO DE OBRA DO EMPREENDIMENTO</t>
  </si>
  <si>
    <t>Conforme legislação tributária municipal, definir estimativa de percentual da base de cálculo para o ISS:</t>
  </si>
  <si>
    <t>Construção de Redes de Abastecimento de Água, Coleta de Esgoto</t>
  </si>
  <si>
    <t>Sobre a base de cálculo, definir a respectiva alíquota do ISS (entre 2% e 5%):</t>
  </si>
  <si>
    <t>Itens</t>
  </si>
  <si>
    <t>Siglas</t>
  </si>
  <si>
    <t>% Adotado</t>
  </si>
  <si>
    <t>Situação</t>
  </si>
  <si>
    <t>1º Quartil</t>
  </si>
  <si>
    <t>Médio</t>
  </si>
  <si>
    <t>3º Quartil</t>
  </si>
  <si>
    <t>-</t>
  </si>
  <si>
    <t>Construção e Manutenção de Estações e Redes de Distribuição de Energia Elétrica</t>
  </si>
  <si>
    <t>Tributos (impostos COFINS 3%, e  PIS 0,65%)</t>
  </si>
  <si>
    <t>CP</t>
  </si>
  <si>
    <t>Tributos (ISS, variável de acordo com o município)</t>
  </si>
  <si>
    <t>ISS</t>
  </si>
  <si>
    <t>CPRB</t>
  </si>
  <si>
    <t>BDI SEM desoneração
(Fórmula Acórdão TCU)</t>
  </si>
  <si>
    <t>Obras Portuárias, Marítimas e Fluviais</t>
  </si>
  <si>
    <t>BDI COM desoneração</t>
  </si>
  <si>
    <t>BDI DES</t>
  </si>
  <si>
    <t>Responsável Técnico</t>
  </si>
  <si>
    <t>Responsável Tomador</t>
  </si>
  <si>
    <t>Estudos e Projetos, Planos e Gerenciamento e outros correlatos</t>
  </si>
  <si>
    <t>Cargo:</t>
  </si>
  <si>
    <t>Os valores de BDI foram calculados com o emprego da fórmula:</t>
  </si>
  <si>
    <t>Encargos sociais:</t>
  </si>
  <si>
    <t>PLQ -</t>
  </si>
  <si>
    <t>PLANILHA DE LEVANTAMENTO DE QUANTIDADES</t>
  </si>
  <si>
    <t>São Paulo / SP</t>
  </si>
  <si>
    <t>Campo Grande / MS</t>
  </si>
  <si>
    <t>Cuiabá / MT</t>
  </si>
  <si>
    <t>Curitiba / PR</t>
  </si>
  <si>
    <t>Florianópolis / SC</t>
  </si>
  <si>
    <t>Fortaleza / CE</t>
  </si>
  <si>
    <t>Goiânia / GO</t>
  </si>
  <si>
    <t>João Pessoa / PB</t>
  </si>
  <si>
    <t>Macapá / AP</t>
  </si>
  <si>
    <t>Maceió / AL</t>
  </si>
  <si>
    <t>Manaus / AM</t>
  </si>
  <si>
    <t>Natal / RN</t>
  </si>
  <si>
    <t>Palmas / TO</t>
  </si>
  <si>
    <t>Porto Alegre / RS</t>
  </si>
  <si>
    <t>Porto Velho / RO</t>
  </si>
  <si>
    <t>Recife / PE</t>
  </si>
  <si>
    <t>Rio Branco / AC</t>
  </si>
  <si>
    <t>Rio de Janeiro / RJ</t>
  </si>
  <si>
    <t>Salvador / BA</t>
  </si>
  <si>
    <t>São Luís / MA</t>
  </si>
  <si>
    <t>Teresina / PI</t>
  </si>
  <si>
    <t>Vitória / ES</t>
  </si>
  <si>
    <t>CTEF n.º</t>
  </si>
  <si>
    <t>REGIME DE EXECUÇÃO</t>
  </si>
  <si>
    <t>DATA ASSINATURA</t>
  </si>
  <si>
    <t>VIGÊNCIA</t>
  </si>
  <si>
    <t>DESON.</t>
  </si>
  <si>
    <t>ACOMP.</t>
  </si>
  <si>
    <t>OBJETO CTEF</t>
  </si>
  <si>
    <t>Tarefa</t>
  </si>
  <si>
    <t>Contratação Integrada</t>
  </si>
  <si>
    <t>Não se aplica</t>
  </si>
  <si>
    <t>BM</t>
  </si>
  <si>
    <t>PLE</t>
  </si>
  <si>
    <t>Meta</t>
  </si>
  <si>
    <t>Nível 2</t>
  </si>
  <si>
    <t>Nível 3</t>
  </si>
  <si>
    <t>Nível 4</t>
  </si>
  <si>
    <t>Serviço</t>
  </si>
  <si>
    <t>K1</t>
  </si>
  <si>
    <t>K2</t>
  </si>
  <si>
    <t/>
  </si>
  <si>
    <t>K3</t>
  </si>
  <si>
    <t xml:space="preserve"> - 1</t>
  </si>
  <si>
    <t>N1</t>
  </si>
  <si>
    <t>N2</t>
  </si>
  <si>
    <t xml:space="preserve">NOME DA EMPRESA </t>
  </si>
  <si>
    <t>Empreitada Preço Global</t>
  </si>
  <si>
    <t>Empreitada Preço Unitário</t>
  </si>
  <si>
    <t>Empreitada Integral</t>
  </si>
  <si>
    <t>CRONOGRAMA FÍSICO-FINANCEIRO</t>
  </si>
  <si>
    <t>Tributos (Contribuição Previdenciária sobre a Receita Bruta - 0% ou 4,5% - Desoneração)</t>
  </si>
  <si>
    <t>Anexo: Relatório Técnico Circunstanciado justificando a adoção do percentual de cada parcela do BDI.</t>
  </si>
  <si>
    <t>pedir anexo</t>
  </si>
  <si>
    <t>anexo apresentado</t>
  </si>
  <si>
    <t>Local</t>
  </si>
  <si>
    <t>Data</t>
  </si>
  <si>
    <t>Concatenação Fonte-Código</t>
  </si>
  <si>
    <t>Altura</t>
  </si>
  <si>
    <t>Czero</t>
  </si>
  <si>
    <t>Cnível</t>
  </si>
  <si>
    <t>Nmax</t>
  </si>
  <si>
    <t>N3</t>
  </si>
  <si>
    <t>N4</t>
  </si>
  <si>
    <t>Último Nível</t>
  </si>
  <si>
    <t>BancoRef</t>
  </si>
  <si>
    <t>(Selecione uma Localidade)</t>
  </si>
  <si>
    <t>Aracaju / SE</t>
  </si>
  <si>
    <t>Belém / PA</t>
  </si>
  <si>
    <t>Belo Horizonte / MG</t>
  </si>
  <si>
    <t>Boa Vista / RR</t>
  </si>
  <si>
    <t>Brasília / DF</t>
  </si>
  <si>
    <t>Fornecimento de Materiais e Equipamentos (aquisição indireta - em conjunto com licitação de obras)</t>
  </si>
  <si>
    <t>Fornecimento de Materiais e Equipamentos (aquisição direta)</t>
  </si>
  <si>
    <t>Valores Totais (R$)</t>
  </si>
  <si>
    <t>Nome:</t>
  </si>
  <si>
    <t>Descrição</t>
  </si>
  <si>
    <t>Parcela (%)</t>
  </si>
  <si>
    <t>Parcela (R$)</t>
  </si>
  <si>
    <t>Acumulado (%)</t>
  </si>
  <si>
    <t>Fonte</t>
  </si>
  <si>
    <t>Item</t>
  </si>
  <si>
    <t>Quantidade</t>
  </si>
  <si>
    <t>Unidade</t>
  </si>
  <si>
    <t>Nº TC/CR</t>
  </si>
  <si>
    <t>Preço Unitário (R$)</t>
  </si>
  <si>
    <t>n1</t>
  </si>
  <si>
    <t>n2</t>
  </si>
  <si>
    <t>n3</t>
  </si>
  <si>
    <t>n4</t>
  </si>
  <si>
    <t>n5</t>
  </si>
  <si>
    <t>LOTE</t>
  </si>
  <si>
    <t>Unid.</t>
  </si>
  <si>
    <t>Erro de Dados</t>
  </si>
  <si>
    <t>Descrição das Metas / Macrosserviços</t>
  </si>
  <si>
    <t>Lista Crono</t>
  </si>
  <si>
    <t>4.1.2. Preencha no quadro abaixo as informações sobre o orçamento licitado:</t>
  </si>
  <si>
    <t>NOME DA EMPRESA / CNPJ:</t>
  </si>
  <si>
    <t>L</t>
  </si>
  <si>
    <t>Grau de Sigilo</t>
  </si>
  <si>
    <t>#PUBLICO</t>
  </si>
  <si>
    <t>PO - PLANILHA ORÇAMENTÁRIA</t>
  </si>
  <si>
    <t>INSTRUÇÕES DE USO E PREENCHIMENTO</t>
  </si>
  <si>
    <t>2.1  Na Versão Excel 2003, selecione na Faixa de Opções: Ferramentas --&gt; Macro --&gt; Segurança --&gt; Na aba Nível de Segurança selecione a Opção "Baixo" --&gt; Clique em OK --&gt; Feche e abra o Excel novamente para utilizar a Planilha.</t>
  </si>
  <si>
    <t>GESTOR</t>
  </si>
  <si>
    <t>PROGRAMA</t>
  </si>
  <si>
    <t>AÇÃO / MODALIDADE</t>
  </si>
  <si>
    <t>PROPONENTE / TOMADOR</t>
  </si>
  <si>
    <t>MUNICÍPIO / UF</t>
  </si>
  <si>
    <t>LOCALIDADE / ENDEREÇO</t>
  </si>
  <si>
    <t>Nível Máx Crono</t>
  </si>
  <si>
    <t>Nº OPERAÇÃO</t>
  </si>
  <si>
    <t>VTOTAL SOMA</t>
  </si>
  <si>
    <r>
      <t xml:space="preserve">1. Este documento somente pode ser utilizado nas versões do </t>
    </r>
    <r>
      <rPr>
        <b/>
        <sz val="10"/>
        <rFont val="Arial"/>
        <family val="2"/>
      </rPr>
      <t>Excel 2003 ou superior</t>
    </r>
    <r>
      <rPr>
        <sz val="10"/>
        <rFont val="Arial"/>
        <family val="2"/>
      </rPr>
      <t xml:space="preserve">. Não deve ser utilizado versões do BROffice. O Documento deve ser salvo </t>
    </r>
    <r>
      <rPr>
        <b/>
        <sz val="10"/>
        <rFont val="Arial"/>
        <family val="2"/>
      </rPr>
      <t>SOMENTE</t>
    </r>
    <r>
      <rPr>
        <sz val="10"/>
        <rFont val="Arial"/>
        <family val="2"/>
      </rPr>
      <t xml:space="preserve"> em extensão habilitada para macros </t>
    </r>
    <r>
      <rPr>
        <b/>
        <sz val="10"/>
        <rFont val="Arial"/>
        <family val="2"/>
      </rPr>
      <t xml:space="preserve">(.xls ou .xlsm). </t>
    </r>
    <r>
      <rPr>
        <sz val="10"/>
        <rFont val="Arial"/>
        <family val="2"/>
      </rPr>
      <t xml:space="preserve">Se o documento for salvo na extensão </t>
    </r>
    <r>
      <rPr>
        <b/>
        <sz val="10"/>
        <rFont val="Arial"/>
        <family val="2"/>
      </rPr>
      <t>.xlsx</t>
    </r>
    <r>
      <rPr>
        <sz val="10"/>
        <rFont val="Arial"/>
        <family val="2"/>
      </rPr>
      <t xml:space="preserve">, o arquivo será </t>
    </r>
    <r>
      <rPr>
        <b/>
        <sz val="10"/>
        <rFont val="Arial"/>
        <family val="2"/>
      </rPr>
      <t>INUTILIZADO.</t>
    </r>
    <r>
      <rPr>
        <sz val="10"/>
        <rFont val="Arial"/>
        <family val="2"/>
      </rPr>
      <t xml:space="preserve"> </t>
    </r>
  </si>
  <si>
    <t>APELIDO DO EMPREENDIMENTO</t>
  </si>
  <si>
    <t>Arredondamento</t>
  </si>
  <si>
    <t>Custo Unitáro</t>
  </si>
  <si>
    <t>BDI</t>
  </si>
  <si>
    <t>Preço Unitário</t>
  </si>
  <si>
    <t>Preço Total</t>
  </si>
  <si>
    <t>4. Preferências de Elaboração do Orçamento</t>
  </si>
  <si>
    <t>4.1. Preenchimento de Quantidades</t>
  </si>
  <si>
    <t>ERRO GERAL</t>
  </si>
  <si>
    <t>5. Ordem de Preenchimento</t>
  </si>
  <si>
    <t>5.1. na Aba DADOS</t>
  </si>
  <si>
    <t>5.1.1. Preencha no Quadro abaixo os Dados do TC/CR:</t>
  </si>
  <si>
    <t>5.1.2. Preencha no quadro abaixo as informações sobre o orçamento:</t>
  </si>
  <si>
    <t>5.1.3. Preencha a data de Início da Obra:</t>
  </si>
  <si>
    <t>5.1.4. Preencha no(s) Quadro(s) abaixo os Dados do(s) Responsável(is) Técnico(s) pela elaboração do Orçamento:</t>
  </si>
  <si>
    <t>5.2. Legenda das Abas</t>
  </si>
  <si>
    <t>5.2.1.  LARANJA: Aba DADOS. Preenchimento Obrigatório. Impressão Dispensada.</t>
  </si>
  <si>
    <t>5.2.2.  AMARELO: Abas BDI, PO, PLQ e CFF. Preenchimento e Impressão Obrigatórias. O preenchimento da Aba BDI é dispensada para os casos de Aquisição Direta de Materiais e Equipamentos. A Impressão da Aba PLQ pode ser dispensada para casos de Frente de Obra Única.</t>
  </si>
  <si>
    <t>5.3. na Aba BDI (Bonificações e Despesas Indiretas):</t>
  </si>
  <si>
    <t>5.3.1. Escolha o tipo de empreendimento.</t>
  </si>
  <si>
    <t>5.3.2. Escolha se o BDI será do tipo desonerado ou não (aba DADOS)</t>
  </si>
  <si>
    <t>5.3.3. Informe a base de cálculo do ISS (0 a 100%).</t>
  </si>
  <si>
    <t>5.3.4. Informe a alíquota do ISS (Normalmente de 2 a 5%).</t>
  </si>
  <si>
    <t>5.3.5. Defina na tabela os percentuais a serem adotados para cada item que compõe o BDI nos campos em amarelo.</t>
  </si>
  <si>
    <t>5.3.6. Preencha o campo observações se necessário (recomendado para os orçamentos que utilizam mais de um BDI).</t>
  </si>
  <si>
    <t>5.4. na Aba PO (Planilha Orçamentária):</t>
  </si>
  <si>
    <t>5.4.1. Primeiramente, selecione os níveis de cada item do orçamento na coluna NÍVEL.</t>
  </si>
  <si>
    <t>5.4.1.1: O nível de "Serviço" serve tanto para serviços ou insumos (mão-de-obra / material / equipamento / veículo / máquina / ferramenta / etc). Um "nível 2/3/4" é um título (é preenchida apenas a coluna descrição) utilizado para organizar melhor a planilha orçamentária e engloba (agrupa) serviços e agrupadores de nível inferior.</t>
  </si>
  <si>
    <t>5.4.2. Após a seleção dos níveis, preencha, para cada serviço, as informações sobre a Fonte de Referência, (SINAPI, SICRO, SIURB, etc) e o respectivo Código de Referência.</t>
  </si>
  <si>
    <t>5.4.3. Esta planilha é compatível com o arquivo REFERÊNCIA distribuído pela CAIXA. Caso o arquivo REFERÊNCIA esteja aberto, será possível buscar um código através do botão "Buscar Código". Desta forma a descrição dos serviços será preenchida automaticamente (podendo ser substituída). Caso contrário, seu preenchimento deve ser manual.</t>
  </si>
  <si>
    <t>5.4.3.1. As descrições e unidades preenchidas automaticamente ficarão vinculadas ao arquivo REFERÊNCIA até que se use o botão "Fixar Descrições", que quebra a fórmula e transforma as descrições em texto.</t>
  </si>
  <si>
    <t>5.4.4. Preencher o custo unitário do serviço/insumo na Coluna CUSTO UNITÁRIO. ATENÇÃO: o custo unitário adotado deve ser menor ou igual ao contido na tabela de referência ou mediana das cotações de mercado.</t>
  </si>
  <si>
    <t>5.4.5. Indicar o BDI adotado para cada serviço/insumo na Coluna BDI. Preferencialmente selecione uma das opções da lista suspensa que aparecerá na célula, esta lista contém os 05 BDIs que podem ser preenchidos na Aba BDI (conforme item 5.2 das instruções). Caso seja necessária a adoção de mais de 05 valores diferentes de BDI, digite o percentual diretamente na célula.</t>
  </si>
  <si>
    <t>5.4.6. Conforme selecionado no item 4.1. desta Aba, a Coluna Quantidade pode ser preenchida diretamente na PO, ou representar a soma das quantidades de cada Frente de Obra, informadas na aba PLQ (Planilha de Levantamento de Quantitativos).</t>
  </si>
  <si>
    <t>5.4.7. OBSERVAÇÃO: As demais colunas (Item / Quantidade / Preço Unitário / Preço Total) são de preenchimento automático. Não tente preenche-las ou alterá-las na Aba PO.</t>
  </si>
  <si>
    <t>5.4.8. Se for necessário acrescentar ou excluir linhas da Planilha Orçamentária, utilize o Botão EDITAR PLANILHA e selecione as opções no quadro.
ATENÇÃO: quanto maior o número de linhas mais lento será o processamento dos dados, então acrescente apenas o número necessário ou um pouco a mais.</t>
  </si>
  <si>
    <t>5.4.8.1. Evite deixar linhas em branco no corpo da Planilha Orçamentária.</t>
  </si>
  <si>
    <t>5.4.9. Caso deseje importar os dados de outro arquivo utilize apenas a opção COLAR ESPECIAL ==&gt; VALORES.</t>
  </si>
  <si>
    <t>5.4.10. Clique no Botão LICITAR / REPROGRAMAR para preencher o Orçamento Licitado ou Reprogramado.</t>
  </si>
  <si>
    <t>5.5. na Aba PLQ (Planilha de Levantamento de Quantitativos):</t>
  </si>
  <si>
    <t>5.5.1. Preencha primeiramente as Frentes de Obra.</t>
  </si>
  <si>
    <t xml:space="preserve">5.5.1.1. Exemplos de Frentes de Obra (Rua A trecho 01 / Rua A trecho 02 / Rua B ; UH 01 / UH 02 / UH 03). </t>
  </si>
  <si>
    <t>5.5.2. Preencha as quantidades dos serviços por frente de obra. A soma das quantidades de todas as frentes de um determinado serviço será a quantidade exibida na Planilha Orçamentária.</t>
  </si>
  <si>
    <t>5.5.3. Caso deseje incluir ou excluir frentes, utilize os botões ADICIONAR e EXCLUIR.</t>
  </si>
  <si>
    <t>5.6. na Aba CFF (Cronograma Físico-Financeiro):</t>
  </si>
  <si>
    <t>5.6.1. Preencha a data de início da obra na aba Dados.</t>
  </si>
  <si>
    <t>5.6.2. Preencha as porcentagens previstas por parcela para cada meta ou macrosserviço.</t>
  </si>
  <si>
    <t>5.6.3. Para atualizar o Cronograma conforme o Orçamento e incluir ou excluir parcelas, utilize o botão EDITAR / ATUALIZAR CRONOGRAMA.</t>
  </si>
  <si>
    <t>v008</t>
  </si>
  <si>
    <t>Única</t>
  </si>
  <si>
    <t xml:space="preserve">Serviços Preliminares </t>
  </si>
  <si>
    <t>Sinapi</t>
  </si>
  <si>
    <t>Microdrenagem</t>
  </si>
  <si>
    <t>93379</t>
  </si>
  <si>
    <t>Pavimentação</t>
  </si>
  <si>
    <t>94273</t>
  </si>
  <si>
    <t>Fontoura Xavier /RS</t>
  </si>
  <si>
    <t>Município de Fontoura Xavier</t>
  </si>
  <si>
    <t>NÃO</t>
  </si>
  <si>
    <t>sinapi</t>
  </si>
  <si>
    <t>01</t>
  </si>
  <si>
    <t>100575</t>
  </si>
  <si>
    <t>02</t>
  </si>
  <si>
    <t>90106</t>
  </si>
  <si>
    <t>03</t>
  </si>
  <si>
    <t>95569</t>
  </si>
  <si>
    <t>Prefeito Municipal</t>
  </si>
  <si>
    <t>Infraestrutura Urbana</t>
  </si>
  <si>
    <t xml:space="preserve">Pavimentação em Trechos de Vias Urbanas </t>
  </si>
  <si>
    <t xml:space="preserve">Trechos de Vias Públicas de Área Urbana </t>
  </si>
  <si>
    <t>Sinapi-i</t>
  </si>
  <si>
    <t>m²</t>
  </si>
  <si>
    <t>06</t>
  </si>
  <si>
    <t>Sinalização</t>
  </si>
  <si>
    <t>4721</t>
  </si>
  <si>
    <t>Edivan Arruda de Oliveira</t>
  </si>
  <si>
    <t>Arquiteto e Urbanista</t>
  </si>
  <si>
    <t>A156417-0</t>
  </si>
  <si>
    <t>Luiz Armando Taffarel</t>
  </si>
  <si>
    <t>92210</t>
  </si>
  <si>
    <t>Não</t>
  </si>
  <si>
    <t>101616</t>
  </si>
  <si>
    <t>Trecho da Rua Aristóteles Borges</t>
  </si>
  <si>
    <t>Trecho da Rua Lindolfo José da Rosa</t>
  </si>
  <si>
    <t>Techo Rua Natal Taffarel</t>
  </si>
  <si>
    <t>102354</t>
  </si>
  <si>
    <t>Trecho da Rua Lindolfo José da Rosa, Trecho da Rua Aristóteles Borges e Trecho da Rua Natal Taffarel.</t>
  </si>
  <si>
    <t xml:space="preserve">Composição </t>
  </si>
  <si>
    <t>93382</t>
  </si>
  <si>
    <t>Pavimentação em Piso Intertravado de Vias Públicas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</si>
</sst>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_(&quot;R$&quot;* #,##0.00_);_(&quot;R$&quot;* \(#,##0.00\);_(&quot;R$&quot;* &quot;-&quot;??_);_(@_)"/>
    <numFmt numFmtId="166" formatCode="dd/mm/yy;@"/>
    <numFmt numFmtId="167" formatCode="[$-416]mmm\-yy;@"/>
    <numFmt numFmtId="168" formatCode="[$-F800]dddd\,\ mmmm\ dd\,\ yyyy"/>
    <numFmt numFmtId="169" formatCode="_(&quot;R$ &quot;* #,##0.00_);_(&quot;R$ &quot;* \(#,##0.00\);_(&quot;R$ &quot;* &quot;-&quot;??_);_(@_)"/>
    <numFmt numFmtId="170" formatCode="dd\ &quot;de&quot;\ mmmm\ &quot;de&quot;\ yyyy"/>
    <numFmt numFmtId="171" formatCode="General;General;"/>
  </numFmts>
  <fonts count="52">
    <font>
      <sz val="10"/>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Arial"/>
      <family val="2"/>
    </font>
    <font>
      <b/>
      <sz val="12"/>
      <name val="Arial"/>
      <family val="2"/>
    </font>
    <font>
      <b/>
      <sz val="10"/>
      <name val="Arial"/>
      <family val="2"/>
    </font>
    <font>
      <b/>
      <sz val="10"/>
      <color indexed="10"/>
      <name val="Arial"/>
      <family val="2"/>
    </font>
    <font>
      <sz val="14"/>
      <color indexed="9"/>
      <name val="Arial Black"/>
      <family val="2"/>
    </font>
    <font>
      <b/>
      <sz val="11"/>
      <name val="Arial"/>
      <family val="2"/>
    </font>
    <font>
      <b/>
      <sz val="10"/>
      <color indexed="8"/>
      <name val="Arial"/>
      <family val="2"/>
    </font>
    <font>
      <sz val="8"/>
      <color indexed="9"/>
      <name val="Arial"/>
      <family val="2"/>
    </font>
    <font>
      <sz val="10"/>
      <color indexed="9"/>
      <name val="Arial"/>
      <family val="2"/>
    </font>
    <font>
      <sz val="11"/>
      <name val="Arial"/>
      <family val="2"/>
    </font>
    <font>
      <b/>
      <sz val="10"/>
      <color indexed="12"/>
      <name val="Arial"/>
      <family val="2"/>
    </font>
    <font>
      <b/>
      <u val="single"/>
      <sz val="15"/>
      <name val="Arial"/>
      <family val="2"/>
    </font>
    <font>
      <b/>
      <sz val="11"/>
      <color indexed="12"/>
      <name val="Arial"/>
      <family val="2"/>
    </font>
    <font>
      <u val="single"/>
      <sz val="10"/>
      <name val="Arial"/>
      <family val="2"/>
    </font>
    <font>
      <sz val="12"/>
      <name val="Arial"/>
      <family val="2"/>
    </font>
    <font>
      <sz val="14"/>
      <color indexed="9"/>
      <name val="Arial"/>
      <family val="2"/>
    </font>
    <font>
      <b/>
      <sz val="9"/>
      <name val="Arial"/>
      <family val="2"/>
    </font>
    <font>
      <sz val="11"/>
      <color indexed="9"/>
      <name val="Arial"/>
      <family val="2"/>
    </font>
    <font>
      <b/>
      <sz val="10"/>
      <color indexed="23"/>
      <name val="Arial"/>
      <family val="2"/>
    </font>
    <font>
      <i/>
      <sz val="12"/>
      <name val="Calibri"/>
      <family val="2"/>
    </font>
    <font>
      <i/>
      <u val="single"/>
      <sz val="12"/>
      <name val="Calibri"/>
      <family val="2"/>
    </font>
    <font>
      <b/>
      <sz val="18"/>
      <name val="Arial"/>
      <family val="2"/>
    </font>
    <font>
      <sz val="10.5"/>
      <name val="Arial"/>
      <family val="2"/>
    </font>
    <font>
      <b/>
      <sz val="12"/>
      <color indexed="10"/>
      <name val="Arial"/>
      <family val="2"/>
    </font>
    <font>
      <b/>
      <sz val="20"/>
      <color indexed="10"/>
      <name val="Arial"/>
      <family val="2"/>
    </font>
    <font>
      <sz val="10"/>
      <color indexed="13"/>
      <name val="Arial"/>
      <family val="2"/>
    </font>
    <font>
      <b/>
      <sz val="10"/>
      <color indexed="13"/>
      <name val="Arial"/>
      <family val="2"/>
    </font>
    <font>
      <sz val="8"/>
      <color rgb="FF000000"/>
      <name val="Segoe UI"/>
      <family val="2"/>
    </font>
    <font>
      <sz val="10.5"/>
      <color rgb="FF000000"/>
      <name val="Calibri"/>
      <family val="2"/>
    </font>
    <font>
      <b/>
      <sz val="9"/>
      <color rgb="FF000000"/>
      <name val="Arial"/>
      <family val="2"/>
    </font>
    <font>
      <sz val="10"/>
      <color rgb="FF000000"/>
      <name val="Arial"/>
      <family val="2"/>
    </font>
    <font>
      <b/>
      <sz val="10"/>
      <color rgb="FF000000"/>
      <name val="Arial"/>
      <family val="2"/>
    </font>
    <font>
      <b/>
      <sz val="9"/>
      <color rgb="FFFFFFFF"/>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
      <patternFill patternType="solid">
        <fgColor rgb="FFFFFF99"/>
        <bgColor indexed="64"/>
      </patternFill>
    </fill>
    <fill>
      <patternFill patternType="solid">
        <fgColor indexed="8"/>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thin"/>
      <bottom style="thin"/>
    </border>
    <border>
      <left style="thin"/>
      <right/>
      <top/>
      <bottom/>
    </border>
    <border>
      <left/>
      <right style="thin"/>
      <top/>
      <bottom/>
    </border>
    <border>
      <left/>
      <right/>
      <top/>
      <bottom style="thin"/>
    </border>
    <border>
      <left style="thin"/>
      <right style="thin"/>
      <top style="thin"/>
      <bottom style="thin"/>
    </border>
    <border>
      <left style="thin"/>
      <right style="thin"/>
      <top/>
      <bottom/>
    </border>
    <border>
      <left style="thin"/>
      <right style="thin"/>
      <top/>
      <bottom style="thin"/>
    </border>
    <border>
      <left/>
      <right/>
      <top style="thin"/>
      <bottom/>
    </border>
    <border>
      <left style="thin"/>
      <right/>
      <top/>
      <bottom style="thin"/>
    </border>
    <border>
      <left/>
      <right style="thin"/>
      <top style="thin"/>
      <bottom style="thin"/>
    </border>
    <border>
      <left style="hair"/>
      <right style="thin"/>
      <top style="hair"/>
      <bottom style="hair"/>
    </border>
    <border>
      <left style="thin"/>
      <right/>
      <top style="thin"/>
      <bottom/>
    </border>
    <border>
      <left style="thin"/>
      <right style="hair"/>
      <top style="thin"/>
      <bottom style="thin"/>
    </border>
    <border>
      <left style="thin"/>
      <right/>
      <top style="hair"/>
      <bottom style="hair"/>
    </border>
    <border>
      <left style="hair"/>
      <right style="hair"/>
      <top style="hair"/>
      <bottom style="hair"/>
    </border>
    <border>
      <left style="hair"/>
      <right style="hair"/>
      <top style="thin"/>
      <bottom style="thin"/>
    </border>
    <border>
      <left style="hair"/>
      <right style="hair"/>
      <top/>
      <bottom/>
    </border>
    <border>
      <left style="thin"/>
      <right style="thin"/>
      <top style="hair"/>
      <bottom style="hair"/>
    </border>
    <border>
      <left style="thin"/>
      <right style="thin"/>
      <top style="hair"/>
      <bottom/>
    </border>
    <border>
      <left style="hair"/>
      <right style="thin"/>
      <top style="thin"/>
      <bottom style="thin"/>
    </border>
    <border>
      <left style="thin"/>
      <right style="thin"/>
      <top style="thin"/>
      <bottom/>
    </border>
    <border>
      <left style="thin"/>
      <right style="hair"/>
      <top style="hair"/>
      <bottom style="hair"/>
    </border>
    <border>
      <left style="thin"/>
      <right/>
      <top style="thin"/>
      <bottom style="thin"/>
    </border>
    <border>
      <left style="thin"/>
      <right style="thin"/>
      <top/>
      <bottom style="hair"/>
    </border>
    <border>
      <left style="hair"/>
      <right style="hair"/>
      <top style="hair"/>
      <bottom/>
    </border>
    <border>
      <left/>
      <right/>
      <top style="hair"/>
      <bottom/>
    </border>
    <border>
      <left style="thin"/>
      <right/>
      <top style="hair"/>
      <bottom/>
    </border>
    <border>
      <left/>
      <right style="thin"/>
      <top style="hair"/>
      <bottom/>
    </border>
    <border>
      <left/>
      <right style="thin"/>
      <top/>
      <bottom style="thin"/>
    </border>
    <border>
      <left/>
      <right style="thin"/>
      <top style="thin"/>
      <bottom/>
    </border>
    <border>
      <left style="medium"/>
      <right/>
      <top/>
      <botto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9" fillId="3" borderId="0" applyNumberFormat="0" applyBorder="0" applyAlignment="0" applyProtection="0"/>
    <xf numFmtId="0" fontId="4" fillId="4" borderId="0" applyNumberFormat="0" applyBorder="0" applyAlignment="0" applyProtection="0"/>
    <xf numFmtId="0" fontId="5" fillId="20" borderId="1" applyNumberFormat="0" applyAlignment="0" applyProtection="0"/>
    <xf numFmtId="0" fontId="5" fillId="20" borderId="1" applyNumberFormat="0" applyAlignment="0" applyProtection="0"/>
    <xf numFmtId="0" fontId="6" fillId="21" borderId="2" applyNumberFormat="0" applyAlignment="0" applyProtection="0"/>
    <xf numFmtId="0" fontId="7" fillId="0" borderId="3" applyNumberFormat="0" applyFill="0" applyAlignment="0" applyProtection="0"/>
    <xf numFmtId="0" fontId="6" fillId="21" borderId="2" applyNumberFormat="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8" fillId="7" borderId="1" applyNumberFormat="0" applyAlignment="0" applyProtection="0"/>
    <xf numFmtId="0" fontId="2" fillId="0" borderId="0">
      <alignment/>
      <protection/>
    </xf>
    <xf numFmtId="0" fontId="13" fillId="0" borderId="0" applyNumberFormat="0" applyFill="0" applyBorder="0" applyAlignment="0" applyProtection="0"/>
    <xf numFmtId="0" fontId="4" fillId="4" borderId="0" applyNumberFormat="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9" fillId="3" borderId="0" applyNumberFormat="0" applyBorder="0" applyAlignment="0" applyProtection="0"/>
    <xf numFmtId="0" fontId="8" fillId="7" borderId="1" applyNumberFormat="0" applyAlignment="0" applyProtection="0"/>
    <xf numFmtId="0" fontId="7" fillId="0" borderId="3" applyNumberFormat="0" applyFill="0" applyAlignment="0" applyProtection="0"/>
    <xf numFmtId="165" fontId="0" fillId="0" borderId="0" applyFont="0" applyFill="0" applyBorder="0" applyAlignment="0" applyProtection="0"/>
    <xf numFmtId="169" fontId="0" fillId="0" borderId="0" applyFont="0" applyFill="0" applyBorder="0" applyAlignment="0" applyProtection="0"/>
    <xf numFmtId="0" fontId="10" fillId="22" borderId="0" applyNumberFormat="0" applyBorder="0" applyAlignment="0" applyProtection="0"/>
    <xf numFmtId="0" fontId="10" fillId="22" borderId="0" applyNumberFormat="0" applyBorder="0" applyAlignment="0" applyProtection="0"/>
    <xf numFmtId="0" fontId="0" fillId="0" borderId="0">
      <alignment/>
      <protection/>
    </xf>
    <xf numFmtId="0" fontId="1" fillId="0" borderId="0">
      <alignment/>
      <protection/>
    </xf>
    <xf numFmtId="0" fontId="0" fillId="23" borderId="7" applyNumberFormat="0" applyFont="0" applyAlignment="0" applyProtection="0"/>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11" fillId="20" borderId="8"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0" borderId="9" applyNumberFormat="0" applyFill="0" applyAlignment="0" applyProtection="0"/>
    <xf numFmtId="164" fontId="0" fillId="0" borderId="0" applyFont="0" applyFill="0" applyBorder="0" applyAlignment="0" applyProtection="0"/>
    <xf numFmtId="0" fontId="12" fillId="0" borderId="0" applyNumberFormat="0" applyFill="0" applyBorder="0" applyAlignment="0" applyProtection="0"/>
  </cellStyleXfs>
  <cellXfs count="392">
    <xf numFmtId="0" fontId="0" fillId="0" borderId="0" xfId="0"/>
    <xf numFmtId="0" fontId="0" fillId="0" borderId="0" xfId="0" applyProtection="1">
      <protection/>
    </xf>
    <xf numFmtId="0" fontId="0" fillId="0" borderId="0" xfId="0" applyFill="1" applyBorder="1" applyProtection="1">
      <protection/>
    </xf>
    <xf numFmtId="0" fontId="0" fillId="0" borderId="0" xfId="0" applyBorder="1" applyProtection="1">
      <protection/>
    </xf>
    <xf numFmtId="0" fontId="0" fillId="0" borderId="0" xfId="0" applyFont="1"/>
    <xf numFmtId="0" fontId="19" fillId="0" borderId="0" xfId="0" applyFont="1"/>
    <xf numFmtId="0" fontId="21" fillId="0" borderId="0" xfId="0" applyFont="1" applyAlignment="1">
      <alignment horizontal="center"/>
    </xf>
    <xf numFmtId="0" fontId="0" fillId="0" borderId="0" xfId="0" applyFont="1" applyAlignment="1" applyProtection="1">
      <alignment horizontal="center"/>
      <protection/>
    </xf>
    <xf numFmtId="0" fontId="0" fillId="0" borderId="0" xfId="0" applyAlignment="1" applyProtection="1">
      <alignment horizontal="left"/>
      <protection/>
    </xf>
    <xf numFmtId="0" fontId="0" fillId="0" borderId="0" xfId="0" applyFont="1" applyAlignment="1">
      <alignment horizontal="center"/>
    </xf>
    <xf numFmtId="49" fontId="21" fillId="24" borderId="10" xfId="0" applyNumberFormat="1" applyFont="1" applyFill="1" applyBorder="1" applyAlignment="1" applyProtection="1">
      <alignment horizontal="center" vertical="center"/>
      <protection/>
    </xf>
    <xf numFmtId="164" fontId="21" fillId="24" borderId="10" xfId="106" applyNumberFormat="1" applyFont="1" applyFill="1" applyBorder="1" applyAlignment="1" applyProtection="1">
      <alignment horizontal="center" vertical="center"/>
      <protection/>
    </xf>
    <xf numFmtId="10" fontId="21" fillId="24" borderId="10" xfId="95" applyNumberFormat="1" applyFont="1" applyFill="1" applyBorder="1" applyAlignment="1" applyProtection="1">
      <alignment horizontal="center" vertical="center"/>
      <protection/>
    </xf>
    <xf numFmtId="0" fontId="22" fillId="0" borderId="0" xfId="0" applyFont="1"/>
    <xf numFmtId="0" fontId="0" fillId="0" borderId="0" xfId="0" applyFont="1" applyAlignment="1">
      <alignment horizontal="left"/>
    </xf>
    <xf numFmtId="0" fontId="0" fillId="0" borderId="0" xfId="0" applyFont="1" applyAlignment="1">
      <alignment horizontal="center" vertical="center"/>
    </xf>
    <xf numFmtId="164" fontId="0" fillId="0" borderId="0" xfId="106" applyFont="1"/>
    <xf numFmtId="0" fontId="25" fillId="0" borderId="0" xfId="0" applyFont="1" applyAlignment="1">
      <alignment vertical="center"/>
    </xf>
    <xf numFmtId="0" fontId="0" fillId="0" borderId="0" xfId="0" applyFont="1" applyBorder="1" applyAlignment="1" applyProtection="1">
      <alignment horizontal="right"/>
      <protection/>
    </xf>
    <xf numFmtId="0" fontId="21" fillId="0" borderId="0" xfId="0" applyFont="1" applyBorder="1" applyAlignment="1" applyProtection="1">
      <alignment horizontal="right"/>
      <protection/>
    </xf>
    <xf numFmtId="0" fontId="0" fillId="0" borderId="0" xfId="0" applyFont="1" applyBorder="1"/>
    <xf numFmtId="0" fontId="0" fillId="0" borderId="0" xfId="0" applyFill="1" applyProtection="1">
      <protection/>
    </xf>
    <xf numFmtId="0" fontId="0" fillId="0" borderId="0" xfId="0" applyFill="1" applyAlignment="1" applyProtection="1">
      <alignment horizontal="left"/>
      <protection/>
    </xf>
    <xf numFmtId="0" fontId="0" fillId="0" borderId="0" xfId="0" applyFont="1" applyFill="1" applyAlignment="1" applyProtection="1">
      <alignment horizontal="center"/>
      <protection/>
    </xf>
    <xf numFmtId="0" fontId="0" fillId="0" borderId="0" xfId="0" applyFont="1" applyFill="1" applyBorder="1" applyAlignment="1" applyProtection="1">
      <alignment wrapText="1"/>
      <protection/>
    </xf>
    <xf numFmtId="0" fontId="0" fillId="0" borderId="0" xfId="0" applyFill="1" applyAlignment="1" applyProtection="1">
      <alignment horizontal="left" wrapText="1"/>
      <protection/>
    </xf>
    <xf numFmtId="0" fontId="0" fillId="0" borderId="0" xfId="0" applyFont="1" applyFill="1" applyBorder="1" applyAlignment="1" applyProtection="1">
      <alignment horizontal="left" wrapText="1" indent="2"/>
      <protection/>
    </xf>
    <xf numFmtId="0" fontId="0" fillId="0" borderId="0" xfId="0" applyFill="1" applyAlignment="1" applyProtection="1">
      <alignment horizontal="center"/>
      <protection/>
    </xf>
    <xf numFmtId="0" fontId="21" fillId="0" borderId="11" xfId="91" applyFont="1" applyBorder="1" applyAlignment="1" applyProtection="1">
      <alignment horizontal="left" vertical="top"/>
      <protection/>
    </xf>
    <xf numFmtId="0" fontId="21" fillId="0" borderId="0" xfId="91" applyFont="1" applyBorder="1" applyAlignment="1" applyProtection="1">
      <alignment horizontal="left" vertical="top"/>
      <protection/>
    </xf>
    <xf numFmtId="0" fontId="21" fillId="0" borderId="12" xfId="91" applyFont="1" applyBorder="1" applyAlignment="1" applyProtection="1">
      <alignment horizontal="left" vertical="top"/>
      <protection/>
    </xf>
    <xf numFmtId="10" fontId="0" fillId="0" borderId="0" xfId="95" applyNumberFormat="1" applyFont="1" applyBorder="1" applyAlignment="1" applyProtection="1">
      <alignment horizontal="left"/>
      <protection/>
    </xf>
    <xf numFmtId="0" fontId="0" fillId="0" borderId="0" xfId="0" applyAlignment="1" applyProtection="1">
      <alignment horizontal="left" indent="2"/>
      <protection/>
    </xf>
    <xf numFmtId="14" fontId="26" fillId="0" borderId="0" xfId="0" applyNumberFormat="1" applyFont="1" applyFill="1" applyBorder="1" applyAlignment="1" applyProtection="1">
      <alignment vertical="top" wrapText="1"/>
      <protection/>
    </xf>
    <xf numFmtId="0" fontId="27" fillId="0" borderId="0" xfId="0" applyFont="1" applyFill="1" applyAlignment="1" applyProtection="1">
      <alignment horizontal="center"/>
      <protection/>
    </xf>
    <xf numFmtId="0" fontId="27" fillId="0" borderId="0" xfId="0" applyFont="1" applyFill="1" applyProtection="1">
      <protection/>
    </xf>
    <xf numFmtId="0" fontId="20" fillId="0" borderId="0" xfId="0" applyFont="1" applyAlignment="1">
      <alignment horizontal="left"/>
    </xf>
    <xf numFmtId="166" fontId="0" fillId="0" borderId="0" xfId="106" applyNumberFormat="1" applyFont="1" applyFill="1" applyBorder="1" applyProtection="1">
      <protection/>
    </xf>
    <xf numFmtId="0" fontId="0" fillId="0" borderId="0" xfId="0" applyFont="1" applyAlignment="1" applyProtection="1">
      <alignment horizontal="left"/>
      <protection/>
    </xf>
    <xf numFmtId="0" fontId="0" fillId="0" borderId="13" xfId="0" applyFill="1" applyBorder="1" applyAlignment="1" applyProtection="1">
      <alignment horizontal="left"/>
      <protection/>
    </xf>
    <xf numFmtId="0" fontId="0" fillId="0" borderId="13" xfId="0" applyFill="1" applyBorder="1" applyProtection="1">
      <protection/>
    </xf>
    <xf numFmtId="0" fontId="0" fillId="0" borderId="0" xfId="0" applyProtection="1">
      <protection hidden="1"/>
    </xf>
    <xf numFmtId="0" fontId="0" fillId="0" borderId="0" xfId="0" applyFont="1" applyProtection="1">
      <protection hidden="1"/>
    </xf>
    <xf numFmtId="0" fontId="21" fillId="0" borderId="0" xfId="0" applyFont="1" applyFill="1" applyBorder="1" applyAlignment="1" applyProtection="1">
      <alignment wrapText="1"/>
      <protection hidden="1"/>
    </xf>
    <xf numFmtId="0" fontId="21" fillId="0" borderId="0" xfId="0" applyFont="1" applyFill="1" applyBorder="1" applyAlignment="1" applyProtection="1">
      <alignment horizontal="center" vertical="center"/>
      <protection hidden="1"/>
    </xf>
    <xf numFmtId="0" fontId="0" fillId="0" borderId="0" xfId="0" applyFont="1" applyFill="1" applyBorder="1" applyProtection="1">
      <protection hidden="1"/>
    </xf>
    <xf numFmtId="0" fontId="1" fillId="0" borderId="0" xfId="0" applyFont="1" applyProtection="1">
      <protection hidden="1"/>
    </xf>
    <xf numFmtId="0" fontId="0" fillId="0" borderId="0" xfId="0" applyFont="1" applyAlignment="1" applyProtection="1">
      <alignment horizontal="center"/>
      <protection hidden="1"/>
    </xf>
    <xf numFmtId="0" fontId="0" fillId="0" borderId="0" xfId="0" applyFont="1" applyFill="1" applyBorder="1" applyAlignment="1" applyProtection="1">
      <alignment horizontal="left" wrapText="1"/>
      <protection/>
    </xf>
    <xf numFmtId="0" fontId="0" fillId="0" borderId="0" xfId="0" applyFont="1" applyFill="1" applyBorder="1" applyAlignment="1" applyProtection="1">
      <alignment horizontal="left" wrapText="1" indent="1"/>
      <protection/>
    </xf>
    <xf numFmtId="0" fontId="21" fillId="0" borderId="0" xfId="0" applyFont="1" applyFill="1" applyBorder="1" applyAlignment="1" applyProtection="1">
      <alignment horizontal="left" wrapText="1" indent="1"/>
      <protection/>
    </xf>
    <xf numFmtId="0" fontId="21" fillId="0" borderId="0" xfId="0" applyFont="1" applyAlignment="1" applyProtection="1">
      <alignment horizontal="left" indent="1"/>
      <protection/>
    </xf>
    <xf numFmtId="0" fontId="0" fillId="0" borderId="0" xfId="90" applyFont="1" applyProtection="1">
      <alignment/>
      <protection/>
    </xf>
    <xf numFmtId="0" fontId="21" fillId="0" borderId="0" xfId="90" applyFont="1" applyAlignment="1" applyProtection="1">
      <alignment horizontal="center"/>
      <protection/>
    </xf>
    <xf numFmtId="0" fontId="21" fillId="0" borderId="14" xfId="90" applyFont="1" applyBorder="1" applyAlignment="1" applyProtection="1">
      <alignment horizontal="center"/>
      <protection/>
    </xf>
    <xf numFmtId="10" fontId="29" fillId="0" borderId="14" xfId="90" applyNumberFormat="1" applyFont="1" applyFill="1" applyBorder="1" applyAlignment="1" applyProtection="1">
      <alignment horizontal="center"/>
      <protection/>
    </xf>
    <xf numFmtId="0" fontId="20" fillId="0" borderId="0" xfId="90" applyFont="1" applyAlignment="1" applyProtection="1">
      <alignment horizontal="center"/>
      <protection/>
    </xf>
    <xf numFmtId="0" fontId="30" fillId="0" borderId="0" xfId="90" applyFont="1" applyAlignment="1" applyProtection="1">
      <alignment/>
      <protection/>
    </xf>
    <xf numFmtId="0" fontId="21" fillId="0" borderId="0" xfId="90" applyFont="1" applyProtection="1">
      <alignment/>
      <protection/>
    </xf>
    <xf numFmtId="0" fontId="21" fillId="0" borderId="14" xfId="90" applyFont="1" applyFill="1" applyBorder="1" applyAlignment="1" applyProtection="1">
      <alignment horizontal="center" vertical="center" wrapText="1"/>
      <protection/>
    </xf>
    <xf numFmtId="0" fontId="28" fillId="0" borderId="14" xfId="90" applyFont="1" applyBorder="1" applyAlignment="1" applyProtection="1">
      <alignment horizontal="center" vertical="center"/>
      <protection/>
    </xf>
    <xf numFmtId="10" fontId="28" fillId="22" borderId="14" xfId="90" applyNumberFormat="1" applyFont="1" applyFill="1" applyBorder="1" applyAlignment="1" applyProtection="1">
      <alignment horizontal="center" vertical="center"/>
      <protection locked="0"/>
    </xf>
    <xf numFmtId="4" fontId="24" fillId="0" borderId="14" xfId="90" applyNumberFormat="1" applyFont="1" applyFill="1" applyBorder="1" applyAlignment="1" applyProtection="1">
      <alignment horizontal="center" vertical="center"/>
      <protection/>
    </xf>
    <xf numFmtId="10" fontId="28" fillId="0" borderId="14" xfId="90" applyNumberFormat="1" applyFont="1" applyFill="1" applyBorder="1" applyAlignment="1" applyProtection="1">
      <alignment horizontal="center" vertical="center"/>
      <protection/>
    </xf>
    <xf numFmtId="10" fontId="28" fillId="0" borderId="14" xfId="90" applyNumberFormat="1" applyFont="1" applyFill="1" applyBorder="1" applyAlignment="1" applyProtection="1">
      <alignment horizontal="center" vertical="center" wrapText="1"/>
      <protection/>
    </xf>
    <xf numFmtId="0" fontId="28" fillId="0" borderId="14" xfId="90" applyFont="1" applyFill="1" applyBorder="1" applyAlignment="1" applyProtection="1">
      <alignment horizontal="center" vertical="center" wrapText="1"/>
      <protection/>
    </xf>
    <xf numFmtId="0" fontId="36" fillId="0" borderId="0" xfId="90" applyFont="1" applyFill="1" applyBorder="1" applyAlignment="1" applyProtection="1">
      <alignment horizontal="center" vertical="center" wrapText="1"/>
      <protection/>
    </xf>
    <xf numFmtId="10" fontId="36" fillId="0" borderId="0" xfId="90" applyNumberFormat="1" applyFont="1" applyFill="1" applyBorder="1" applyAlignment="1" applyProtection="1">
      <alignment horizontal="center" vertical="center"/>
      <protection/>
    </xf>
    <xf numFmtId="170" fontId="0" fillId="0" borderId="0" xfId="90" applyNumberFormat="1" applyFont="1" applyAlignment="1" applyProtection="1">
      <alignment/>
      <protection/>
    </xf>
    <xf numFmtId="0" fontId="28" fillId="0" borderId="0" xfId="90" applyFont="1" applyBorder="1" applyProtection="1">
      <alignment/>
      <protection/>
    </xf>
    <xf numFmtId="0" fontId="0" fillId="0" borderId="0" xfId="90" applyFont="1" applyBorder="1" applyProtection="1">
      <alignment/>
      <protection/>
    </xf>
    <xf numFmtId="0" fontId="28" fillId="0" borderId="0" xfId="90" applyFont="1" applyProtection="1">
      <alignment/>
      <protection/>
    </xf>
    <xf numFmtId="0" fontId="28" fillId="0" borderId="0" xfId="90" applyFont="1" applyAlignment="1" applyProtection="1">
      <alignment vertical="top"/>
      <protection/>
    </xf>
    <xf numFmtId="0" fontId="32" fillId="0" borderId="0" xfId="90" applyFont="1" applyBorder="1" applyAlignment="1" applyProtection="1">
      <alignment horizontal="center" vertical="top"/>
      <protection/>
    </xf>
    <xf numFmtId="0" fontId="21" fillId="0" borderId="14" xfId="0" applyFont="1" applyBorder="1" applyAlignment="1" applyProtection="1">
      <alignment horizontal="center" vertical="center" wrapText="1"/>
      <protection/>
    </xf>
    <xf numFmtId="0" fontId="21" fillId="0" borderId="14" xfId="0" applyFont="1" applyBorder="1" applyAlignment="1" applyProtection="1">
      <alignment horizontal="center" vertical="center"/>
      <protection/>
    </xf>
    <xf numFmtId="0" fontId="21" fillId="24" borderId="14" xfId="0" applyNumberFormat="1" applyFont="1" applyFill="1" applyBorder="1" applyAlignment="1" applyProtection="1">
      <alignment horizontal="center" vertical="center"/>
      <protection/>
    </xf>
    <xf numFmtId="0" fontId="0" fillId="0" borderId="15" xfId="0" applyFont="1" applyBorder="1" applyAlignment="1" applyProtection="1">
      <alignment horizontal="center"/>
      <protection/>
    </xf>
    <xf numFmtId="0" fontId="21" fillId="0" borderId="16" xfId="0" applyFont="1" applyBorder="1" applyAlignment="1" applyProtection="1">
      <alignment horizontal="center"/>
      <protection/>
    </xf>
    <xf numFmtId="0" fontId="0" fillId="0" borderId="0" xfId="0" applyFont="1" applyFill="1"/>
    <xf numFmtId="0" fontId="34" fillId="0" borderId="0" xfId="0" applyFont="1" applyFill="1" applyAlignment="1">
      <alignment vertical="center"/>
    </xf>
    <xf numFmtId="0" fontId="0" fillId="0" borderId="0" xfId="0" applyFont="1" applyFill="1" applyAlignment="1">
      <alignment horizontal="center" vertical="top"/>
    </xf>
    <xf numFmtId="0" fontId="0" fillId="0" borderId="0" xfId="0" applyFont="1" applyProtection="1">
      <protection/>
    </xf>
    <xf numFmtId="0" fontId="0" fillId="0" borderId="17" xfId="0" applyFont="1" applyBorder="1"/>
    <xf numFmtId="0" fontId="28" fillId="0" borderId="0" xfId="0" applyFont="1"/>
    <xf numFmtId="0" fontId="20" fillId="0" borderId="0" xfId="0" applyFont="1" applyAlignment="1">
      <alignment horizontal="right"/>
    </xf>
    <xf numFmtId="0" fontId="21" fillId="22" borderId="0" xfId="0" applyFont="1" applyFill="1" applyAlignment="1" applyProtection="1">
      <alignment/>
      <protection locked="0"/>
    </xf>
    <xf numFmtId="0" fontId="21" fillId="24" borderId="10" xfId="0" applyNumberFormat="1" applyFont="1" applyFill="1" applyBorder="1" applyAlignment="1" applyProtection="1">
      <alignment horizontal="center" vertical="center" wrapText="1"/>
      <protection/>
    </xf>
    <xf numFmtId="0" fontId="0" fillId="22" borderId="18" xfId="0" applyFont="1" applyFill="1" applyBorder="1" applyAlignment="1" applyProtection="1">
      <alignment horizontal="left" vertical="top" wrapText="1"/>
      <protection locked="0"/>
    </xf>
    <xf numFmtId="0" fontId="0" fillId="0" borderId="12" xfId="0" applyFont="1" applyBorder="1"/>
    <xf numFmtId="0" fontId="28" fillId="0" borderId="11" xfId="0" applyFont="1" applyBorder="1" applyAlignment="1" applyProtection="1">
      <alignment horizontal="left" vertical="center"/>
      <protection/>
    </xf>
    <xf numFmtId="0" fontId="0" fillId="22" borderId="18" xfId="0" applyFont="1" applyFill="1" applyBorder="1" applyAlignment="1" applyProtection="1">
      <alignment vertical="top" wrapText="1"/>
      <protection locked="0"/>
    </xf>
    <xf numFmtId="0" fontId="21" fillId="0" borderId="11" xfId="91" applyFont="1" applyBorder="1" applyAlignment="1" applyProtection="1">
      <alignment vertical="top"/>
      <protection/>
    </xf>
    <xf numFmtId="0" fontId="21" fillId="0" borderId="15" xfId="91" applyFont="1" applyBorder="1" applyAlignment="1" applyProtection="1">
      <alignment horizontal="center" vertical="top"/>
      <protection/>
    </xf>
    <xf numFmtId="0" fontId="0" fillId="0" borderId="0" xfId="0" applyFont="1" applyProtection="1">
      <protection/>
    </xf>
    <xf numFmtId="10" fontId="0" fillId="22" borderId="16" xfId="95" applyNumberFormat="1" applyFont="1" applyFill="1" applyBorder="1" applyAlignment="1" applyProtection="1">
      <alignment horizontal="center" vertical="top" wrapText="1"/>
      <protection/>
    </xf>
    <xf numFmtId="10" fontId="0" fillId="0" borderId="16" xfId="95" applyNumberFormat="1" applyFont="1" applyFill="1" applyBorder="1" applyAlignment="1" applyProtection="1">
      <alignment horizontal="center" vertical="top" wrapText="1"/>
      <protection/>
    </xf>
    <xf numFmtId="164" fontId="21" fillId="24" borderId="19" xfId="106" applyNumberFormat="1" applyFont="1" applyFill="1" applyBorder="1" applyAlignment="1" applyProtection="1">
      <alignment horizontal="center" vertical="center" shrinkToFit="1"/>
      <protection/>
    </xf>
    <xf numFmtId="164" fontId="0" fillId="0" borderId="20" xfId="106" applyNumberFormat="1" applyFont="1" applyFill="1" applyBorder="1" applyAlignment="1">
      <alignment horizontal="center" vertical="center" shrinkToFit="1"/>
    </xf>
    <xf numFmtId="0" fontId="20" fillId="0" borderId="0" xfId="0" applyFont="1" applyAlignment="1">
      <alignment horizontal="left" vertical="center"/>
    </xf>
    <xf numFmtId="0" fontId="0" fillId="0" borderId="0" xfId="90" applyFont="1" applyBorder="1" applyAlignment="1" applyProtection="1">
      <alignment horizontal="center" vertical="top"/>
      <protection/>
    </xf>
    <xf numFmtId="0" fontId="35" fillId="0" borderId="0" xfId="91" applyFont="1" applyBorder="1" applyAlignment="1" applyProtection="1">
      <alignment horizontal="left" vertical="top"/>
      <protection/>
    </xf>
    <xf numFmtId="0" fontId="33" fillId="0" borderId="0" xfId="0" applyFont="1" applyAlignment="1">
      <alignment horizontal="left" vertical="center"/>
    </xf>
    <xf numFmtId="3" fontId="0" fillId="20" borderId="21" xfId="0" applyNumberFormat="1" applyFill="1" applyBorder="1" applyAlignment="1" applyProtection="1">
      <alignment horizontal="left"/>
      <protection/>
    </xf>
    <xf numFmtId="10" fontId="0" fillId="22" borderId="18" xfId="95" applyNumberFormat="1" applyFont="1" applyFill="1" applyBorder="1" applyAlignment="1" applyProtection="1">
      <alignment horizontal="left" vertical="top" wrapText="1"/>
      <protection locked="0"/>
    </xf>
    <xf numFmtId="0" fontId="0" fillId="20" borderId="18" xfId="0" applyFont="1" applyFill="1" applyBorder="1" applyAlignment="1" applyProtection="1">
      <alignment horizontal="left"/>
      <protection/>
    </xf>
    <xf numFmtId="4" fontId="24" fillId="0" borderId="14" xfId="90" applyNumberFormat="1" applyFont="1" applyFill="1" applyBorder="1" applyAlignment="1" applyProtection="1">
      <alignment horizontal="center" vertical="center" wrapText="1"/>
      <protection/>
    </xf>
    <xf numFmtId="0" fontId="42" fillId="0" borderId="0" xfId="90" applyFont="1" applyAlignment="1" applyProtection="1">
      <alignment wrapText="1"/>
      <protection/>
    </xf>
    <xf numFmtId="0" fontId="43" fillId="0" borderId="0" xfId="90" applyFont="1" applyAlignment="1" applyProtection="1">
      <alignment vertical="top" wrapText="1"/>
      <protection/>
    </xf>
    <xf numFmtId="0" fontId="40" fillId="0" borderId="14" xfId="90" applyFont="1" applyBorder="1" applyAlignment="1" applyProtection="1">
      <alignment horizontal="center" vertical="center"/>
      <protection/>
    </xf>
    <xf numFmtId="4" fontId="24" fillId="0" borderId="0" xfId="90" applyNumberFormat="1" applyFont="1" applyFill="1" applyBorder="1" applyAlignment="1" applyProtection="1">
      <alignment horizontal="center" vertical="center" wrapText="1"/>
      <protection/>
    </xf>
    <xf numFmtId="0" fontId="0" fillId="0" borderId="0" xfId="90" applyFont="1" applyProtection="1">
      <alignment/>
      <protection locked="0"/>
    </xf>
    <xf numFmtId="0" fontId="21" fillId="0" borderId="0" xfId="0" applyFont="1"/>
    <xf numFmtId="0" fontId="21" fillId="0" borderId="0" xfId="0" applyFont="1" applyAlignment="1">
      <alignment horizontal="left"/>
    </xf>
    <xf numFmtId="0" fontId="0" fillId="0" borderId="0" xfId="0" applyAlignment="1" applyProtection="1">
      <alignment horizontal="center"/>
      <protection/>
    </xf>
    <xf numFmtId="0" fontId="21" fillId="0" borderId="22" xfId="0" applyFont="1" applyBorder="1" applyAlignment="1" applyProtection="1">
      <alignment horizontal="center" vertical="center" wrapText="1"/>
      <protection/>
    </xf>
    <xf numFmtId="0" fontId="21" fillId="0" borderId="0" xfId="0" applyFont="1" applyFill="1" applyBorder="1" applyAlignment="1" applyProtection="1">
      <alignment horizontal="center" vertical="center" wrapText="1"/>
      <protection/>
    </xf>
    <xf numFmtId="0" fontId="0" fillId="0" borderId="0" xfId="0" applyBorder="1"/>
    <xf numFmtId="0" fontId="0" fillId="0" borderId="0" xfId="0" applyFont="1" applyFill="1" applyBorder="1"/>
    <xf numFmtId="0" fontId="22" fillId="0" borderId="16" xfId="0" applyFont="1" applyBorder="1" applyAlignment="1">
      <alignment horizontal="center"/>
    </xf>
    <xf numFmtId="0" fontId="1" fillId="22" borderId="23" xfId="0" applyNumberFormat="1" applyFont="1" applyFill="1" applyBorder="1" applyAlignment="1" applyProtection="1">
      <alignment vertical="center" wrapText="1"/>
      <protection locked="0"/>
    </xf>
    <xf numFmtId="164" fontId="0" fillId="0" borderId="24" xfId="106" applyNumberFormat="1" applyFont="1" applyFill="1" applyBorder="1" applyAlignment="1">
      <alignment vertical="center" shrinkToFit="1"/>
    </xf>
    <xf numFmtId="0" fontId="0" fillId="22" borderId="25" xfId="0" applyFont="1" applyFill="1" applyBorder="1" applyAlignment="1" applyProtection="1">
      <alignment horizontal="center" textRotation="90" wrapText="1"/>
      <protection locked="0"/>
    </xf>
    <xf numFmtId="0" fontId="21" fillId="0" borderId="15" xfId="0" applyFont="1" applyBorder="1" applyAlignment="1" applyProtection="1">
      <alignment horizontal="center" vertical="center" wrapText="1"/>
      <protection/>
    </xf>
    <xf numFmtId="0" fontId="21" fillId="0" borderId="15" xfId="0" applyFont="1" applyBorder="1" applyAlignment="1" applyProtection="1">
      <alignment horizontal="center" vertical="center"/>
      <protection/>
    </xf>
    <xf numFmtId="0" fontId="25" fillId="0" borderId="26" xfId="0" applyFont="1" applyBorder="1" applyAlignment="1">
      <alignment horizontal="center" vertical="center"/>
    </xf>
    <xf numFmtId="0" fontId="1" fillId="0" borderId="27" xfId="0" applyNumberFormat="1" applyFont="1" applyFill="1" applyBorder="1" applyAlignment="1" applyProtection="1">
      <alignment vertical="center"/>
      <protection/>
    </xf>
    <xf numFmtId="0" fontId="0" fillId="0" borderId="28" xfId="0" applyNumberFormat="1" applyFont="1" applyFill="1" applyBorder="1" applyAlignment="1" applyProtection="1">
      <alignment vertical="center" wrapText="1"/>
      <protection/>
    </xf>
    <xf numFmtId="0" fontId="1" fillId="0" borderId="28" xfId="0" applyNumberFormat="1" applyFont="1" applyFill="1" applyBorder="1" applyAlignment="1" applyProtection="1">
      <alignment vertical="center"/>
      <protection/>
    </xf>
    <xf numFmtId="0" fontId="0" fillId="0" borderId="28"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vertical="center" shrinkToFit="1"/>
      <protection/>
    </xf>
    <xf numFmtId="0" fontId="0" fillId="0" borderId="0" xfId="0" applyFont="1" applyAlignment="1">
      <alignment wrapText="1"/>
    </xf>
    <xf numFmtId="10" fontId="0" fillId="0" borderId="24" xfId="106" applyNumberFormat="1" applyFont="1" applyFill="1" applyBorder="1" applyAlignment="1">
      <alignment vertical="center" shrinkToFit="1"/>
    </xf>
    <xf numFmtId="10" fontId="21" fillId="24" borderId="10" xfId="106" applyNumberFormat="1" applyFont="1" applyFill="1" applyBorder="1" applyAlignment="1" applyProtection="1">
      <alignment horizontal="center" vertical="center"/>
      <protection/>
    </xf>
    <xf numFmtId="0" fontId="21" fillId="0" borderId="11" xfId="91" applyFont="1" applyFill="1" applyBorder="1" applyAlignment="1" applyProtection="1">
      <alignment horizontal="left" vertical="top"/>
      <protection/>
    </xf>
    <xf numFmtId="0" fontId="21" fillId="0" borderId="11" xfId="91" applyFont="1" applyFill="1" applyBorder="1" applyAlignment="1" applyProtection="1">
      <alignment vertical="top"/>
      <protection/>
    </xf>
    <xf numFmtId="0" fontId="21" fillId="0" borderId="15" xfId="91" applyFont="1" applyFill="1" applyBorder="1" applyAlignment="1" applyProtection="1">
      <alignment horizontal="center" vertical="top"/>
      <protection/>
    </xf>
    <xf numFmtId="0" fontId="0" fillId="0" borderId="18" xfId="0" applyFont="1" applyFill="1" applyBorder="1" applyAlignment="1" applyProtection="1">
      <alignment vertical="top" wrapText="1"/>
      <protection/>
    </xf>
    <xf numFmtId="0" fontId="0" fillId="0" borderId="18" xfId="0" applyFont="1" applyFill="1" applyBorder="1" applyAlignment="1" applyProtection="1">
      <alignment horizontal="left" vertical="top" wrapText="1"/>
      <protection/>
    </xf>
    <xf numFmtId="10" fontId="0" fillId="0" borderId="16" xfId="95" applyNumberFormat="1" applyFont="1" applyFill="1" applyBorder="1" applyAlignment="1" applyProtection="1">
      <alignment horizontal="center" vertical="top" wrapText="1"/>
      <protection/>
    </xf>
    <xf numFmtId="10" fontId="0" fillId="0" borderId="18" xfId="95" applyNumberFormat="1" applyFont="1" applyFill="1" applyBorder="1" applyAlignment="1" applyProtection="1">
      <alignment horizontal="left" vertical="top" wrapText="1"/>
      <protection/>
    </xf>
    <xf numFmtId="0" fontId="21" fillId="0" borderId="17" xfId="0" applyFont="1" applyBorder="1"/>
    <xf numFmtId="0" fontId="21" fillId="0" borderId="17" xfId="0" applyFont="1" applyBorder="1" applyAlignment="1">
      <alignment horizontal="left"/>
    </xf>
    <xf numFmtId="0" fontId="0" fillId="0" borderId="17" xfId="0" applyFont="1" applyBorder="1" applyAlignment="1">
      <alignment horizontal="left"/>
    </xf>
    <xf numFmtId="0" fontId="21" fillId="0" borderId="17" xfId="90" applyFont="1" applyBorder="1" applyAlignment="1" applyProtection="1">
      <alignment horizontal="left"/>
      <protection/>
    </xf>
    <xf numFmtId="0" fontId="0" fillId="0" borderId="17" xfId="90" applyFont="1" applyBorder="1" applyProtection="1">
      <alignment/>
      <protection/>
    </xf>
    <xf numFmtId="0" fontId="25" fillId="0" borderId="0" xfId="0" applyFont="1" applyAlignment="1">
      <alignment horizontal="center" vertical="center"/>
    </xf>
    <xf numFmtId="0" fontId="35" fillId="0" borderId="29" xfId="0" applyFont="1" applyBorder="1" applyAlignment="1" applyProtection="1">
      <alignment horizontal="center" vertical="center" wrapText="1"/>
      <protection/>
    </xf>
    <xf numFmtId="0" fontId="27" fillId="0" borderId="0" xfId="0" applyFont="1" applyAlignment="1" applyProtection="1">
      <alignment horizontal="center" vertical="center" wrapText="1"/>
      <protection/>
    </xf>
    <xf numFmtId="0" fontId="27" fillId="0" borderId="0" xfId="0" applyFont="1" applyAlignment="1" applyProtection="1">
      <alignment horizontal="center"/>
      <protection/>
    </xf>
    <xf numFmtId="4" fontId="24" fillId="25" borderId="13" xfId="106" applyNumberFormat="1" applyFont="1" applyFill="1" applyBorder="1" applyAlignment="1" applyProtection="1">
      <alignment horizontal="center" vertical="center" shrinkToFit="1"/>
      <protection/>
    </xf>
    <xf numFmtId="10" fontId="24" fillId="21" borderId="0" xfId="95" applyNumberFormat="1" applyFont="1" applyFill="1" applyBorder="1" applyAlignment="1" applyProtection="1">
      <alignment horizontal="center" vertical="center" shrinkToFit="1"/>
      <protection/>
    </xf>
    <xf numFmtId="4" fontId="24" fillId="21" borderId="13" xfId="106" applyNumberFormat="1" applyFont="1" applyFill="1" applyBorder="1" applyAlignment="1" applyProtection="1">
      <alignment horizontal="center" vertical="center" shrinkToFit="1"/>
      <protection/>
    </xf>
    <xf numFmtId="0" fontId="35" fillId="0" borderId="30" xfId="0" applyFont="1" applyBorder="1" applyAlignment="1" applyProtection="1">
      <alignment horizontal="center" vertical="center" wrapText="1"/>
      <protection/>
    </xf>
    <xf numFmtId="0" fontId="0" fillId="0" borderId="17" xfId="0" applyFont="1" applyFill="1" applyBorder="1" applyProtection="1">
      <protection/>
    </xf>
    <xf numFmtId="0" fontId="0" fillId="0" borderId="17" xfId="0" applyFont="1" applyFill="1" applyBorder="1" applyAlignment="1" applyProtection="1">
      <alignment horizontal="center"/>
      <protection/>
    </xf>
    <xf numFmtId="0" fontId="21" fillId="25" borderId="18" xfId="0" applyFont="1" applyFill="1" applyBorder="1" applyAlignment="1" applyProtection="1">
      <alignment horizontal="center" vertical="center"/>
      <protection/>
    </xf>
    <xf numFmtId="0" fontId="21" fillId="21" borderId="11" xfId="0" applyFont="1" applyFill="1" applyBorder="1" applyAlignment="1" applyProtection="1">
      <alignment horizontal="center" vertical="center"/>
      <protection/>
    </xf>
    <xf numFmtId="0" fontId="21" fillId="21" borderId="18" xfId="0" applyFont="1" applyFill="1" applyBorder="1" applyAlignment="1" applyProtection="1">
      <alignment horizontal="center" vertical="center"/>
      <protection/>
    </xf>
    <xf numFmtId="0" fontId="0" fillId="22" borderId="14" xfId="0" applyFont="1" applyFill="1" applyBorder="1" applyAlignment="1" applyProtection="1">
      <alignment horizontal="center" vertical="center"/>
      <protection locked="0"/>
    </xf>
    <xf numFmtId="0" fontId="35" fillId="0" borderId="0" xfId="0" applyFont="1" applyAlignment="1" applyProtection="1">
      <alignment horizontal="center" wrapText="1"/>
      <protection/>
    </xf>
    <xf numFmtId="0" fontId="44" fillId="0" borderId="0" xfId="0" applyFont="1" applyFill="1" applyProtection="1">
      <protection/>
    </xf>
    <xf numFmtId="0" fontId="0" fillId="0" borderId="31" xfId="0" applyNumberFormat="1" applyFont="1" applyFill="1" applyBorder="1" applyAlignment="1">
      <alignment vertical="center" wrapText="1" shrinkToFit="1"/>
    </xf>
    <xf numFmtId="0" fontId="37" fillId="24" borderId="32" xfId="0" applyNumberFormat="1" applyFont="1" applyFill="1" applyBorder="1" applyAlignment="1" applyProtection="1">
      <alignment horizontal="center" vertical="center" wrapText="1"/>
      <protection/>
    </xf>
    <xf numFmtId="0" fontId="1" fillId="21" borderId="23" xfId="0" applyNumberFormat="1" applyFont="1" applyFill="1" applyBorder="1" applyAlignment="1" applyProtection="1">
      <alignment vertical="center" wrapText="1"/>
      <protection/>
    </xf>
    <xf numFmtId="164" fontId="0" fillId="0" borderId="28" xfId="106" applyFont="1" applyFill="1" applyBorder="1" applyAlignment="1" applyProtection="1">
      <alignment vertical="center" shrinkToFit="1"/>
      <protection/>
    </xf>
    <xf numFmtId="0" fontId="0" fillId="0" borderId="0" xfId="0" applyFont="1" applyAlignment="1" applyProtection="1">
      <alignment horizontal="center"/>
      <protection locked="0"/>
    </xf>
    <xf numFmtId="0" fontId="21" fillId="25" borderId="11" xfId="0" applyFont="1" applyFill="1" applyBorder="1" applyAlignment="1" applyProtection="1">
      <alignment horizontal="center" vertical="center"/>
      <protection/>
    </xf>
    <xf numFmtId="10" fontId="28" fillId="0" borderId="0" xfId="95" applyNumberFormat="1" applyFont="1" applyFill="1" applyBorder="1" applyAlignment="1" applyProtection="1">
      <alignment horizontal="center" vertical="center"/>
      <protection/>
    </xf>
    <xf numFmtId="4" fontId="28" fillId="0" borderId="0" xfId="95" applyNumberFormat="1"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21" fillId="0" borderId="11" xfId="0" applyFont="1" applyFill="1" applyBorder="1" applyAlignment="1" applyProtection="1">
      <alignment horizontal="center" vertical="center"/>
      <protection/>
    </xf>
    <xf numFmtId="0" fontId="23" fillId="0" borderId="0" xfId="0" applyFont="1" applyFill="1" applyAlignment="1" applyProtection="1">
      <alignment vertical="center"/>
      <protection/>
    </xf>
    <xf numFmtId="0" fontId="20" fillId="0" borderId="0" xfId="0" applyFont="1" applyAlignment="1" applyProtection="1">
      <alignment horizontal="right" vertical="center"/>
      <protection/>
    </xf>
    <xf numFmtId="0" fontId="20" fillId="0" borderId="0" xfId="0" applyFont="1" applyAlignment="1" applyProtection="1">
      <alignment horizontal="left" vertical="center"/>
      <protection/>
    </xf>
    <xf numFmtId="0" fontId="0" fillId="0" borderId="0" xfId="0" applyFill="1" applyAlignment="1" applyProtection="1">
      <alignment horizontal="center" vertical="top"/>
      <protection/>
    </xf>
    <xf numFmtId="0" fontId="33" fillId="0" borderId="0" xfId="0" applyFont="1" applyAlignment="1" applyProtection="1">
      <alignment horizontal="left" vertical="center"/>
      <protection/>
    </xf>
    <xf numFmtId="0" fontId="0" fillId="0" borderId="0" xfId="0" applyFont="1" applyAlignment="1" applyProtection="1">
      <alignment horizontal="center" wrapText="1"/>
      <protection/>
    </xf>
    <xf numFmtId="0" fontId="19" fillId="0" borderId="0" xfId="0" applyFont="1" applyAlignment="1" applyProtection="1">
      <alignment wrapText="1"/>
      <protection/>
    </xf>
    <xf numFmtId="0" fontId="0" fillId="0" borderId="0" xfId="0" applyNumberFormat="1" applyProtection="1">
      <protection/>
    </xf>
    <xf numFmtId="0" fontId="21" fillId="0" borderId="0" xfId="0" applyFont="1" applyFill="1" applyBorder="1" applyAlignment="1" applyProtection="1">
      <alignment horizontal="center" wrapText="1"/>
      <protection/>
    </xf>
    <xf numFmtId="0" fontId="24" fillId="0" borderId="15" xfId="0" applyFont="1" applyFill="1" applyBorder="1" applyAlignment="1" applyProtection="1">
      <alignment horizontal="center" vertical="center"/>
      <protection/>
    </xf>
    <xf numFmtId="0" fontId="24" fillId="0" borderId="15" xfId="0" applyFont="1" applyFill="1" applyBorder="1" applyAlignment="1" applyProtection="1">
      <alignment horizontal="center" vertical="center" wrapText="1"/>
      <protection/>
    </xf>
    <xf numFmtId="0" fontId="24" fillId="0" borderId="3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4" fontId="0" fillId="0" borderId="0" xfId="0" applyNumberFormat="1" applyFont="1" applyFill="1" applyBorder="1" applyAlignment="1" applyProtection="1">
      <alignment horizontal="center" vertical="center"/>
      <protection/>
    </xf>
    <xf numFmtId="0" fontId="1" fillId="0" borderId="0" xfId="0" applyFont="1" applyFill="1" applyBorder="1" applyProtection="1">
      <protection/>
    </xf>
    <xf numFmtId="0" fontId="0" fillId="0" borderId="0" xfId="0" applyFont="1" applyBorder="1" applyProtection="1">
      <protection/>
    </xf>
    <xf numFmtId="0" fontId="1" fillId="0" borderId="0" xfId="0" applyFont="1" applyProtection="1">
      <protection/>
    </xf>
    <xf numFmtId="0" fontId="0" fillId="0" borderId="0" xfId="0" applyFont="1" applyBorder="1" applyAlignment="1" applyProtection="1">
      <alignment vertical="top"/>
      <protection/>
    </xf>
    <xf numFmtId="0" fontId="21" fillId="0" borderId="0" xfId="0" applyFont="1" applyBorder="1" applyAlignment="1" applyProtection="1">
      <alignment vertical="center"/>
      <protection/>
    </xf>
    <xf numFmtId="4" fontId="1" fillId="0" borderId="0" xfId="0" applyNumberFormat="1" applyFont="1" applyProtection="1">
      <protection/>
    </xf>
    <xf numFmtId="0" fontId="21" fillId="0" borderId="17" xfId="0" applyFont="1" applyFill="1" applyBorder="1" applyAlignment="1" applyProtection="1">
      <alignment horizontal="left" vertical="center"/>
      <protection/>
    </xf>
    <xf numFmtId="0" fontId="0" fillId="0" borderId="17" xfId="0" applyFont="1" applyBorder="1" applyProtection="1">
      <protection/>
    </xf>
    <xf numFmtId="0" fontId="0" fillId="0" borderId="0" xfId="0" applyFont="1" applyBorder="1" applyAlignment="1" applyProtection="1">
      <alignment horizontal="center"/>
      <protection/>
    </xf>
    <xf numFmtId="0" fontId="21" fillId="0" borderId="11" xfId="0" applyFont="1" applyFill="1" applyBorder="1" applyAlignment="1" applyProtection="1">
      <alignment wrapText="1"/>
      <protection/>
    </xf>
    <xf numFmtId="0" fontId="0" fillId="0" borderId="11" xfId="0" applyBorder="1" applyProtection="1">
      <protection/>
    </xf>
    <xf numFmtId="0" fontId="0" fillId="0" borderId="11" xfId="0" applyBorder="1" applyProtection="1" quotePrefix="1">
      <protection/>
    </xf>
    <xf numFmtId="10" fontId="28" fillId="0" borderId="11" xfId="95" applyNumberFormat="1" applyFont="1" applyFill="1" applyBorder="1" applyAlignment="1" applyProtection="1">
      <alignment horizontal="center" vertical="center"/>
      <protection/>
    </xf>
    <xf numFmtId="4" fontId="28" fillId="0" borderId="11" xfId="95" applyNumberFormat="1" applyFont="1" applyFill="1" applyBorder="1" applyAlignment="1" applyProtection="1">
      <alignment horizontal="center" vertical="center"/>
      <protection/>
    </xf>
    <xf numFmtId="4" fontId="24" fillId="25" borderId="18" xfId="106" applyNumberFormat="1" applyFont="1" applyFill="1" applyBorder="1" applyAlignment="1" applyProtection="1">
      <alignment horizontal="center" vertical="center" shrinkToFit="1"/>
      <protection/>
    </xf>
    <xf numFmtId="10" fontId="24" fillId="21" borderId="11" xfId="95" applyNumberFormat="1" applyFont="1" applyFill="1" applyBorder="1" applyAlignment="1" applyProtection="1">
      <alignment horizontal="center" vertical="center" shrinkToFit="1"/>
      <protection/>
    </xf>
    <xf numFmtId="4" fontId="24" fillId="21" borderId="18" xfId="106" applyNumberFormat="1" applyFont="1" applyFill="1" applyBorder="1" applyAlignment="1" applyProtection="1">
      <alignment horizontal="center" vertical="center" shrinkToFit="1"/>
      <protection/>
    </xf>
    <xf numFmtId="0" fontId="0" fillId="0" borderId="15"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10" fontId="24" fillId="25" borderId="11" xfId="95" applyNumberFormat="1" applyFont="1" applyFill="1" applyBorder="1" applyAlignment="1" applyProtection="1">
      <alignment horizontal="center" vertical="center" shrinkToFit="1"/>
      <protection/>
    </xf>
    <xf numFmtId="10" fontId="24" fillId="25" borderId="0" xfId="95" applyNumberFormat="1" applyFont="1" applyFill="1" applyBorder="1" applyAlignment="1" applyProtection="1">
      <alignment horizontal="center" vertical="center" shrinkToFit="1"/>
      <protection/>
    </xf>
    <xf numFmtId="4" fontId="28" fillId="0" borderId="12" xfId="95" applyNumberFormat="1" applyFont="1" applyFill="1" applyBorder="1" applyAlignment="1" applyProtection="1">
      <alignment horizontal="center" vertical="center"/>
      <protection/>
    </xf>
    <xf numFmtId="10" fontId="0" fillId="0" borderId="14" xfId="0" applyNumberFormat="1" applyBorder="1" applyProtection="1">
      <protection/>
    </xf>
    <xf numFmtId="49" fontId="0" fillId="22" borderId="24"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xf>
    <xf numFmtId="0" fontId="0" fillId="0" borderId="14" xfId="0" applyFont="1" applyBorder="1"/>
    <xf numFmtId="0" fontId="0" fillId="0" borderId="0" xfId="0" quotePrefix="1"/>
    <xf numFmtId="0" fontId="28" fillId="0" borderId="0" xfId="0" applyFont="1" applyFill="1" applyBorder="1" applyAlignment="1" applyProtection="1">
      <alignment horizontal="left" wrapText="1"/>
      <protection locked="0"/>
    </xf>
    <xf numFmtId="0" fontId="0" fillId="0" borderId="14" xfId="0" applyFont="1" applyBorder="1" applyProtection="1">
      <protection locked="0"/>
    </xf>
    <xf numFmtId="164" fontId="0" fillId="22" borderId="34" xfId="106" applyFont="1" applyFill="1" applyBorder="1" applyAlignment="1" applyProtection="1">
      <alignment vertical="center" shrinkToFit="1"/>
      <protection locked="0"/>
    </xf>
    <xf numFmtId="0" fontId="21" fillId="24" borderId="32" xfId="0" applyNumberFormat="1" applyFont="1" applyFill="1" applyBorder="1" applyAlignment="1" applyProtection="1">
      <alignment horizontal="center" vertical="center" shrinkToFit="1"/>
      <protection/>
    </xf>
    <xf numFmtId="0" fontId="21" fillId="24" borderId="25" xfId="0" applyNumberFormat="1" applyFont="1" applyFill="1" applyBorder="1" applyAlignment="1" applyProtection="1">
      <alignment horizontal="center" vertical="center" shrinkToFit="1"/>
      <protection/>
    </xf>
    <xf numFmtId="0" fontId="21" fillId="0" borderId="11" xfId="0" applyFont="1" applyFill="1" applyBorder="1" applyAlignment="1" applyProtection="1">
      <alignment horizontal="center" vertical="center" wrapText="1" shrinkToFit="1"/>
      <protection/>
    </xf>
    <xf numFmtId="14" fontId="24" fillId="0" borderId="11" xfId="0" applyNumberFormat="1"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protection/>
    </xf>
    <xf numFmtId="10" fontId="28" fillId="22" borderId="35" xfId="95" applyNumberFormat="1" applyFont="1" applyFill="1" applyBorder="1" applyAlignment="1" applyProtection="1">
      <alignment horizontal="center" vertical="center"/>
      <protection hidden="1" locked="0"/>
    </xf>
    <xf numFmtId="0" fontId="24" fillId="0" borderId="12" xfId="0" applyFont="1" applyFill="1" applyBorder="1" applyAlignment="1" applyProtection="1">
      <alignment horizontal="center" vertical="center" wrapText="1"/>
      <protection/>
    </xf>
    <xf numFmtId="0" fontId="21" fillId="0" borderId="0" xfId="0" applyFont="1" applyFill="1" applyBorder="1" applyAlignment="1" applyProtection="1">
      <alignment wrapText="1"/>
      <protection/>
    </xf>
    <xf numFmtId="0" fontId="0" fillId="20" borderId="0" xfId="0" applyFont="1" applyFill="1"/>
    <xf numFmtId="10" fontId="28" fillId="22" borderId="36" xfId="95" applyNumberFormat="1" applyFont="1" applyFill="1" applyBorder="1" applyAlignment="1" applyProtection="1">
      <alignment horizontal="center" vertical="center"/>
      <protection locked="0"/>
    </xf>
    <xf numFmtId="10" fontId="28" fillId="22" borderId="35" xfId="95" applyNumberFormat="1" applyFont="1" applyFill="1" applyBorder="1" applyAlignment="1" applyProtection="1">
      <alignment horizontal="center" vertical="center"/>
      <protection locked="0"/>
    </xf>
    <xf numFmtId="10" fontId="28" fillId="22" borderId="37" xfId="95" applyNumberFormat="1" applyFont="1" applyFill="1" applyBorder="1" applyAlignment="1" applyProtection="1">
      <alignment horizontal="center" vertical="center"/>
      <protection locked="0"/>
    </xf>
    <xf numFmtId="164" fontId="0" fillId="26" borderId="24" xfId="106" applyFont="1" applyFill="1" applyBorder="1" applyAlignment="1" applyProtection="1">
      <alignment vertical="center" wrapText="1"/>
      <protection locked="0"/>
    </xf>
    <xf numFmtId="0" fontId="0" fillId="26" borderId="24" xfId="0" applyNumberFormat="1" applyFont="1" applyFill="1" applyBorder="1" applyAlignment="1" applyProtection="1">
      <alignment horizontal="center" vertical="center" wrapText="1"/>
      <protection locked="0"/>
    </xf>
    <xf numFmtId="0" fontId="0" fillId="26" borderId="24" xfId="0" applyNumberFormat="1" applyFont="1" applyFill="1" applyBorder="1" applyAlignment="1" applyProtection="1">
      <alignment vertical="center" wrapText="1"/>
      <protection locked="0"/>
    </xf>
    <xf numFmtId="10" fontId="0" fillId="26" borderId="24" xfId="95" applyNumberFormat="1" applyFont="1" applyFill="1" applyBorder="1" applyAlignment="1" applyProtection="1">
      <alignment horizontal="center" vertical="center" wrapText="1"/>
      <protection locked="0"/>
    </xf>
    <xf numFmtId="164" fontId="0" fillId="22" borderId="24" xfId="106" applyNumberFormat="1" applyFont="1" applyFill="1" applyBorder="1" applyAlignment="1" applyProtection="1">
      <alignment vertical="center" shrinkToFit="1"/>
      <protection/>
    </xf>
    <xf numFmtId="0" fontId="0" fillId="0" borderId="18" xfId="0" applyFill="1" applyBorder="1" applyAlignment="1" applyProtection="1">
      <alignment horizontal="left" vertical="top" wrapText="1"/>
      <protection/>
    </xf>
    <xf numFmtId="0" fontId="0" fillId="0" borderId="13" xfId="0" applyFill="1" applyBorder="1" applyAlignment="1" applyProtection="1">
      <alignment horizontal="left" vertical="top" wrapText="1"/>
      <protection/>
    </xf>
    <xf numFmtId="0" fontId="0" fillId="0" borderId="38" xfId="0" applyFill="1" applyBorder="1" applyAlignment="1" applyProtection="1">
      <alignment horizontal="left" vertical="top" wrapText="1"/>
      <protection/>
    </xf>
    <xf numFmtId="0" fontId="21" fillId="0" borderId="11" xfId="91" applyFont="1" applyFill="1" applyBorder="1" applyAlignment="1" applyProtection="1">
      <alignment horizontal="left" vertical="top"/>
      <protection/>
    </xf>
    <xf numFmtId="0" fontId="21" fillId="0" borderId="0" xfId="91" applyFont="1" applyFill="1" applyBorder="1" applyAlignment="1" applyProtection="1">
      <alignment horizontal="left" vertical="top"/>
      <protection/>
    </xf>
    <xf numFmtId="0" fontId="21" fillId="0" borderId="12" xfId="91" applyFont="1" applyFill="1" applyBorder="1" applyAlignment="1" applyProtection="1">
      <alignment horizontal="left" vertical="top"/>
      <protection/>
    </xf>
    <xf numFmtId="0" fontId="21" fillId="0" borderId="11" xfId="91" applyFont="1" applyBorder="1" applyAlignment="1" applyProtection="1">
      <alignment horizontal="left" vertical="top"/>
      <protection/>
    </xf>
    <xf numFmtId="0" fontId="21" fillId="0" borderId="0" xfId="91" applyFont="1" applyBorder="1" applyAlignment="1" applyProtection="1">
      <alignment horizontal="left" vertical="top"/>
      <protection/>
    </xf>
    <xf numFmtId="0" fontId="21" fillId="0" borderId="12" xfId="91" applyFont="1" applyBorder="1" applyAlignment="1" applyProtection="1">
      <alignment horizontal="left" vertical="top"/>
      <protection/>
    </xf>
    <xf numFmtId="0" fontId="0" fillId="22" borderId="18" xfId="0" applyFont="1" applyFill="1" applyBorder="1" applyAlignment="1" applyProtection="1">
      <alignment horizontal="left" vertical="top" wrapText="1"/>
      <protection locked="0"/>
    </xf>
    <xf numFmtId="0" fontId="0" fillId="22" borderId="13" xfId="0" applyFont="1" applyFill="1" applyBorder="1" applyAlignment="1" applyProtection="1">
      <alignment horizontal="left" vertical="top" wrapText="1"/>
      <protection locked="0"/>
    </xf>
    <xf numFmtId="0" fontId="0" fillId="22" borderId="38" xfId="0" applyFont="1" applyFill="1" applyBorder="1" applyAlignment="1" applyProtection="1">
      <alignment horizontal="left" vertical="top" wrapText="1"/>
      <protection locked="0"/>
    </xf>
    <xf numFmtId="0" fontId="0" fillId="22" borderId="13" xfId="0" applyFill="1" applyBorder="1" applyAlignment="1" applyProtection="1">
      <alignment horizontal="left" vertical="top" wrapText="1"/>
      <protection locked="0"/>
    </xf>
    <xf numFmtId="0" fontId="0" fillId="22" borderId="38" xfId="0" applyFill="1" applyBorder="1" applyAlignment="1" applyProtection="1">
      <alignment horizontal="left" vertical="top" wrapText="1"/>
      <protection locked="0"/>
    </xf>
    <xf numFmtId="49" fontId="0" fillId="22" borderId="18" xfId="0" applyNumberFormat="1" applyFont="1" applyFill="1" applyBorder="1" applyAlignment="1" applyProtection="1">
      <alignment horizontal="left" vertical="top" wrapText="1"/>
      <protection locked="0"/>
    </xf>
    <xf numFmtId="49" fontId="0" fillId="22" borderId="13" xfId="0" applyNumberFormat="1" applyFill="1" applyBorder="1" applyAlignment="1" applyProtection="1">
      <alignment horizontal="left" vertical="top" wrapText="1"/>
      <protection locked="0"/>
    </xf>
    <xf numFmtId="49" fontId="0" fillId="22" borderId="38" xfId="0" applyNumberFormat="1" applyFill="1" applyBorder="1" applyAlignment="1" applyProtection="1">
      <alignment horizontal="left" vertical="top" wrapText="1"/>
      <protection locked="0"/>
    </xf>
    <xf numFmtId="0" fontId="0" fillId="0" borderId="0" xfId="0" applyFont="1" applyFill="1" applyBorder="1" applyAlignment="1" applyProtection="1">
      <alignment horizontal="left" wrapText="1" indent="2"/>
      <protection/>
    </xf>
    <xf numFmtId="0" fontId="0" fillId="0" borderId="0" xfId="0" applyAlignment="1" applyProtection="1">
      <alignment horizontal="left" indent="2"/>
      <protection/>
    </xf>
    <xf numFmtId="10" fontId="0" fillId="22" borderId="18" xfId="95" applyNumberFormat="1" applyFont="1" applyFill="1" applyBorder="1" applyAlignment="1" applyProtection="1">
      <alignment horizontal="left" vertical="top" wrapText="1"/>
      <protection locked="0"/>
    </xf>
    <xf numFmtId="10" fontId="0" fillId="22" borderId="13" xfId="95" applyNumberFormat="1" applyFont="1" applyFill="1" applyBorder="1" applyAlignment="1" applyProtection="1">
      <alignment horizontal="left" vertical="top" wrapText="1"/>
      <protection locked="0"/>
    </xf>
    <xf numFmtId="10" fontId="0" fillId="22" borderId="38" xfId="95" applyNumberFormat="1" applyFont="1" applyFill="1" applyBorder="1" applyAlignment="1" applyProtection="1">
      <alignment horizontal="left" vertical="top" wrapText="1"/>
      <protection locked="0"/>
    </xf>
    <xf numFmtId="10" fontId="0" fillId="0" borderId="18" xfId="95" applyNumberFormat="1" applyFont="1" applyFill="1" applyBorder="1" applyAlignment="1" applyProtection="1">
      <alignment horizontal="left" vertical="top" wrapText="1"/>
      <protection/>
    </xf>
    <xf numFmtId="10" fontId="0" fillId="0" borderId="13" xfId="95" applyNumberFormat="1" applyFont="1" applyFill="1" applyBorder="1" applyAlignment="1" applyProtection="1">
      <alignment horizontal="left" vertical="top" wrapText="1"/>
      <protection/>
    </xf>
    <xf numFmtId="10" fontId="0" fillId="0" borderId="13" xfId="95" applyNumberFormat="1" applyFont="1" applyFill="1" applyBorder="1" applyAlignment="1" applyProtection="1">
      <alignment horizontal="left" vertical="top" wrapText="1"/>
      <protection/>
    </xf>
    <xf numFmtId="10" fontId="0" fillId="0" borderId="38" xfId="95" applyNumberFormat="1" applyFont="1" applyFill="1" applyBorder="1" applyAlignment="1" applyProtection="1">
      <alignment horizontal="left" vertical="top" wrapText="1"/>
      <protection/>
    </xf>
    <xf numFmtId="14" fontId="0" fillId="0" borderId="18" xfId="95" applyNumberFormat="1" applyFont="1" applyFill="1" applyBorder="1" applyAlignment="1" applyProtection="1">
      <alignment horizontal="center" vertical="top" wrapText="1"/>
      <protection/>
    </xf>
    <xf numFmtId="14" fontId="0" fillId="0" borderId="38" xfId="95" applyNumberFormat="1" applyFont="1" applyFill="1" applyBorder="1" applyAlignment="1" applyProtection="1">
      <alignment horizontal="center" vertical="top" wrapText="1"/>
      <protection/>
    </xf>
    <xf numFmtId="0" fontId="0" fillId="0" borderId="0" xfId="0" applyFont="1" applyFill="1" applyBorder="1" applyAlignment="1" applyProtection="1">
      <alignment horizontal="left" wrapText="1" indent="3"/>
      <protection/>
    </xf>
    <xf numFmtId="0" fontId="0" fillId="0" borderId="0" xfId="0" applyAlignment="1" applyProtection="1">
      <alignment horizontal="left" indent="3"/>
      <protection/>
    </xf>
    <xf numFmtId="0" fontId="0" fillId="0" borderId="18" xfId="0" applyFont="1" applyFill="1" applyBorder="1" applyAlignment="1" applyProtection="1">
      <alignment horizontal="left" vertical="top" wrapText="1"/>
      <protection/>
    </xf>
    <xf numFmtId="0" fontId="0" fillId="0" borderId="38" xfId="0" applyFont="1" applyFill="1" applyBorder="1" applyAlignment="1" applyProtection="1">
      <alignment horizontal="left" vertical="top" wrapText="1"/>
      <protection/>
    </xf>
    <xf numFmtId="14" fontId="0" fillId="0" borderId="18" xfId="95" applyNumberFormat="1" applyFont="1" applyFill="1" applyBorder="1" applyAlignment="1" applyProtection="1">
      <alignment horizontal="center" vertical="top" wrapText="1"/>
      <protection/>
    </xf>
    <xf numFmtId="14" fontId="0" fillId="0" borderId="38" xfId="95" applyNumberFormat="1" applyFont="1" applyFill="1" applyBorder="1" applyAlignment="1" applyProtection="1">
      <alignment horizontal="center" vertical="top" wrapText="1"/>
      <protection/>
    </xf>
    <xf numFmtId="0" fontId="0" fillId="0" borderId="13" xfId="0" applyFont="1" applyFill="1" applyBorder="1" applyAlignment="1" applyProtection="1">
      <alignment horizontal="left" vertical="top" wrapText="1"/>
      <protection/>
    </xf>
    <xf numFmtId="167" fontId="0" fillId="0" borderId="18" xfId="95" applyNumberFormat="1" applyFont="1" applyFill="1" applyBorder="1" applyAlignment="1" applyProtection="1">
      <alignment horizontal="left" vertical="top" wrapText="1"/>
      <protection/>
    </xf>
    <xf numFmtId="167" fontId="0" fillId="0" borderId="13" xfId="95" applyNumberFormat="1" applyFont="1" applyFill="1" applyBorder="1" applyAlignment="1" applyProtection="1">
      <alignment horizontal="left" vertical="top" wrapText="1"/>
      <protection/>
    </xf>
    <xf numFmtId="49" fontId="0" fillId="0" borderId="18" xfId="0" applyNumberFormat="1" applyFill="1" applyBorder="1" applyAlignment="1" applyProtection="1">
      <alignment horizontal="left" vertical="top" wrapText="1"/>
      <protection/>
    </xf>
    <xf numFmtId="49" fontId="0" fillId="0" borderId="13" xfId="0" applyNumberFormat="1" applyFill="1" applyBorder="1" applyAlignment="1" applyProtection="1">
      <alignment horizontal="left" vertical="top" wrapText="1"/>
      <protection/>
    </xf>
    <xf numFmtId="0" fontId="35" fillId="0" borderId="11" xfId="91" applyFont="1" applyFill="1" applyBorder="1" applyAlignment="1" applyProtection="1">
      <alignment horizontal="left" vertical="top"/>
      <protection/>
    </xf>
    <xf numFmtId="0" fontId="35" fillId="0" borderId="12" xfId="91" applyFont="1" applyFill="1" applyBorder="1" applyAlignment="1" applyProtection="1">
      <alignment horizontal="left" vertical="top"/>
      <protection/>
    </xf>
    <xf numFmtId="167" fontId="0" fillId="22" borderId="18" xfId="0" applyNumberFormat="1" applyFill="1" applyBorder="1" applyAlignment="1" applyProtection="1">
      <alignment horizontal="center" vertical="top" wrapText="1"/>
      <protection locked="0"/>
    </xf>
    <xf numFmtId="167" fontId="0" fillId="22" borderId="38" xfId="0" applyNumberFormat="1" applyFill="1" applyBorder="1" applyAlignment="1" applyProtection="1">
      <alignment horizontal="center" vertical="top" wrapText="1"/>
      <protection locked="0"/>
    </xf>
    <xf numFmtId="167" fontId="0" fillId="0" borderId="18" xfId="0" applyNumberFormat="1" applyFill="1" applyBorder="1" applyAlignment="1" applyProtection="1">
      <alignment horizontal="center" vertical="top" wrapText="1"/>
      <protection/>
    </xf>
    <xf numFmtId="167" fontId="0" fillId="0" borderId="38" xfId="0" applyNumberFormat="1" applyFill="1" applyBorder="1" applyAlignment="1" applyProtection="1">
      <alignment horizontal="center" vertical="top" wrapText="1"/>
      <protection/>
    </xf>
    <xf numFmtId="14" fontId="0" fillId="22" borderId="18" xfId="0" applyNumberFormat="1" applyFill="1" applyBorder="1" applyAlignment="1" applyProtection="1">
      <alignment horizontal="left" vertical="top" wrapText="1"/>
      <protection locked="0"/>
    </xf>
    <xf numFmtId="14" fontId="0" fillId="22" borderId="13" xfId="0" applyNumberFormat="1" applyFill="1" applyBorder="1" applyAlignment="1" applyProtection="1">
      <alignment horizontal="left" vertical="top" wrapText="1"/>
      <protection locked="0"/>
    </xf>
    <xf numFmtId="14" fontId="0" fillId="22" borderId="38" xfId="0" applyNumberFormat="1" applyFill="1" applyBorder="1" applyAlignment="1" applyProtection="1">
      <alignment horizontal="left" vertical="top" wrapText="1"/>
      <protection locked="0"/>
    </xf>
    <xf numFmtId="49" fontId="0" fillId="22" borderId="0" xfId="0" applyNumberFormat="1" applyFill="1" applyBorder="1" applyAlignment="1" applyProtection="1">
      <alignment horizontal="left"/>
      <protection locked="0"/>
    </xf>
    <xf numFmtId="0" fontId="0" fillId="22" borderId="0" xfId="0" applyFont="1" applyFill="1" applyBorder="1" applyAlignment="1" applyProtection="1">
      <alignment horizontal="left"/>
      <protection locked="0"/>
    </xf>
    <xf numFmtId="0" fontId="0" fillId="22" borderId="0" xfId="0" applyFill="1" applyBorder="1" applyAlignment="1" applyProtection="1">
      <alignment horizontal="left"/>
      <protection locked="0"/>
    </xf>
    <xf numFmtId="0" fontId="21" fillId="0" borderId="0" xfId="0" applyFont="1" applyFill="1" applyBorder="1" applyAlignment="1" applyProtection="1">
      <alignment horizontal="left" wrapText="1" indent="1"/>
      <protection/>
    </xf>
    <xf numFmtId="0" fontId="21" fillId="0" borderId="0" xfId="0" applyFont="1" applyAlignment="1" applyProtection="1">
      <alignment horizontal="left" indent="1"/>
      <protection/>
    </xf>
    <xf numFmtId="0" fontId="45" fillId="27" borderId="0" xfId="0" applyFont="1" applyFill="1" applyBorder="1" applyAlignment="1" applyProtection="1">
      <alignment horizontal="left" vertical="top" wrapText="1" indent="2"/>
      <protection/>
    </xf>
    <xf numFmtId="0" fontId="45" fillId="27" borderId="0" xfId="0" applyFont="1" applyFill="1" applyAlignment="1" applyProtection="1">
      <alignment horizontal="left" vertical="top" indent="2"/>
      <protection/>
    </xf>
    <xf numFmtId="49" fontId="0" fillId="22" borderId="0" xfId="0" applyNumberFormat="1" applyFont="1" applyFill="1" applyBorder="1" applyAlignment="1" applyProtection="1">
      <alignment horizontal="left"/>
      <protection locked="0"/>
    </xf>
    <xf numFmtId="0" fontId="20" fillId="20" borderId="17" xfId="0" applyFont="1" applyFill="1" applyBorder="1" applyAlignment="1" applyProtection="1">
      <alignment horizontal="center" vertical="center" wrapText="1"/>
      <protection/>
    </xf>
    <xf numFmtId="0" fontId="20" fillId="20" borderId="39" xfId="0" applyFont="1" applyFill="1" applyBorder="1" applyAlignment="1" applyProtection="1">
      <alignment horizontal="center" vertical="center" wrapText="1"/>
      <protection/>
    </xf>
    <xf numFmtId="0" fontId="20" fillId="20" borderId="13" xfId="0" applyFont="1" applyFill="1" applyBorder="1" applyAlignment="1" applyProtection="1">
      <alignment horizontal="center" vertical="center" wrapText="1"/>
      <protection/>
    </xf>
    <xf numFmtId="0" fontId="20" fillId="20" borderId="38" xfId="0" applyFont="1" applyFill="1" applyBorder="1" applyAlignment="1" applyProtection="1">
      <alignment horizontal="center" vertical="center" wrapText="1"/>
      <protection/>
    </xf>
    <xf numFmtId="0" fontId="35" fillId="0" borderId="11" xfId="91" applyFont="1" applyBorder="1" applyAlignment="1" applyProtection="1">
      <alignment horizontal="left" vertical="top"/>
      <protection/>
    </xf>
    <xf numFmtId="0" fontId="35" fillId="0" borderId="12" xfId="91" applyFont="1" applyBorder="1" applyAlignment="1" applyProtection="1">
      <alignment horizontal="left" vertical="top"/>
      <protection/>
    </xf>
    <xf numFmtId="14" fontId="0" fillId="22" borderId="18" xfId="95" applyNumberFormat="1" applyFont="1" applyFill="1" applyBorder="1" applyAlignment="1" applyProtection="1">
      <alignment horizontal="center" vertical="top" wrapText="1"/>
      <protection locked="0"/>
    </xf>
    <xf numFmtId="14" fontId="0" fillId="22" borderId="38" xfId="95" applyNumberFormat="1" applyFont="1" applyFill="1" applyBorder="1" applyAlignment="1" applyProtection="1">
      <alignment horizontal="center" vertical="top" wrapText="1"/>
      <protection locked="0"/>
    </xf>
    <xf numFmtId="49" fontId="0" fillId="22" borderId="18" xfId="95" applyNumberFormat="1" applyFont="1" applyFill="1" applyBorder="1" applyAlignment="1" applyProtection="1">
      <alignment horizontal="left" vertical="top" wrapText="1"/>
      <protection locked="0"/>
    </xf>
    <xf numFmtId="49" fontId="0" fillId="22" borderId="13" xfId="95" applyNumberFormat="1" applyFont="1" applyFill="1" applyBorder="1" applyAlignment="1" applyProtection="1">
      <alignment horizontal="left" vertical="top" wrapText="1"/>
      <protection locked="0"/>
    </xf>
    <xf numFmtId="49" fontId="0" fillId="22" borderId="13" xfId="95" applyNumberFormat="1" applyFont="1" applyFill="1" applyBorder="1" applyAlignment="1" applyProtection="1">
      <alignment horizontal="left" vertical="top" wrapText="1"/>
      <protection locked="0"/>
    </xf>
    <xf numFmtId="49" fontId="0" fillId="22" borderId="38" xfId="95" applyNumberFormat="1" applyFont="1" applyFill="1" applyBorder="1" applyAlignment="1" applyProtection="1">
      <alignment horizontal="left" vertical="top" wrapText="1"/>
      <protection locked="0"/>
    </xf>
    <xf numFmtId="14" fontId="0" fillId="22" borderId="38" xfId="95" applyNumberFormat="1" applyFont="1" applyFill="1" applyBorder="1" applyAlignment="1" applyProtection="1">
      <alignment horizontal="center" vertical="top" wrapText="1"/>
      <protection locked="0"/>
    </xf>
    <xf numFmtId="0" fontId="24" fillId="0" borderId="0" xfId="0" applyFont="1" applyFill="1" applyBorder="1" applyAlignment="1" applyProtection="1">
      <alignment horizontal="center" vertical="center" wrapText="1"/>
      <protection/>
    </xf>
    <xf numFmtId="0" fontId="0" fillId="0" borderId="40"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left" wrapText="1"/>
      <protection/>
    </xf>
    <xf numFmtId="0" fontId="0" fillId="0" borderId="40" xfId="0" applyFont="1" applyFill="1" applyBorder="1" applyAlignment="1" applyProtection="1">
      <alignment horizontal="left" wrapText="1"/>
      <protection/>
    </xf>
    <xf numFmtId="0" fontId="0" fillId="0" borderId="0" xfId="0" applyFont="1" applyFill="1" applyBorder="1" applyAlignment="1" applyProtection="1">
      <alignment horizontal="left" wrapText="1" indent="1"/>
      <protection/>
    </xf>
    <xf numFmtId="49" fontId="0" fillId="22" borderId="38" xfId="0" applyNumberFormat="1" applyFont="1" applyFill="1" applyBorder="1" applyAlignment="1" applyProtection="1">
      <alignment horizontal="left" vertical="top" wrapText="1"/>
      <protection locked="0"/>
    </xf>
    <xf numFmtId="0" fontId="45" fillId="27" borderId="0" xfId="0" applyFont="1" applyFill="1" applyBorder="1" applyAlignment="1" applyProtection="1">
      <alignment horizontal="left" vertical="top" wrapText="1" indent="2"/>
      <protection/>
    </xf>
    <xf numFmtId="0" fontId="45" fillId="27" borderId="0" xfId="0" applyFont="1" applyFill="1" applyAlignment="1" applyProtection="1">
      <alignment horizontal="left" vertical="top" indent="2"/>
      <protection/>
    </xf>
    <xf numFmtId="0" fontId="21" fillId="0" borderId="40" xfId="0" applyFont="1" applyFill="1" applyBorder="1" applyAlignment="1" applyProtection="1">
      <alignment horizontal="left" wrapText="1"/>
      <protection/>
    </xf>
    <xf numFmtId="0" fontId="21" fillId="0" borderId="0" xfId="0" applyFont="1" applyFill="1" applyBorder="1" applyAlignment="1" applyProtection="1">
      <alignment horizontal="left" wrapText="1"/>
      <protection/>
    </xf>
    <xf numFmtId="49" fontId="0" fillId="0" borderId="0" xfId="90" applyNumberFormat="1" applyFont="1" applyFill="1" applyBorder="1" applyAlignment="1" applyProtection="1">
      <alignment horizontal="left"/>
      <protection locked="0"/>
    </xf>
    <xf numFmtId="0" fontId="24" fillId="0" borderId="0" xfId="90" applyFont="1" applyBorder="1" applyAlignment="1" applyProtection="1">
      <alignment horizontal="left" vertical="center"/>
      <protection/>
    </xf>
    <xf numFmtId="0" fontId="21" fillId="0" borderId="0" xfId="90" applyFont="1" applyBorder="1" applyAlignment="1" applyProtection="1">
      <alignment horizontal="left" vertical="center"/>
      <protection/>
    </xf>
    <xf numFmtId="10" fontId="1" fillId="22" borderId="14" xfId="90" applyNumberFormat="1" applyFont="1" applyFill="1" applyBorder="1" applyAlignment="1" applyProtection="1">
      <alignment horizontal="center"/>
      <protection locked="0"/>
    </xf>
    <xf numFmtId="0" fontId="1" fillId="0" borderId="14" xfId="90" applyFont="1" applyFill="1" applyBorder="1" applyAlignment="1" applyProtection="1">
      <alignment horizontal="left"/>
      <protection/>
    </xf>
    <xf numFmtId="0" fontId="24" fillId="0" borderId="14" xfId="90" applyFont="1" applyBorder="1" applyAlignment="1" applyProtection="1">
      <alignment horizontal="center" vertical="center"/>
      <protection/>
    </xf>
    <xf numFmtId="0" fontId="1" fillId="0" borderId="14" xfId="90" applyFont="1" applyFill="1" applyBorder="1" applyAlignment="1" applyProtection="1">
      <alignment horizontal="left" wrapText="1"/>
      <protection/>
    </xf>
    <xf numFmtId="0" fontId="24" fillId="0" borderId="14" xfId="90" applyFont="1" applyFill="1" applyBorder="1" applyAlignment="1" applyProtection="1">
      <alignment horizontal="center" vertical="center"/>
      <protection/>
    </xf>
    <xf numFmtId="4" fontId="24" fillId="0" borderId="14" xfId="90" applyNumberFormat="1" applyFont="1" applyFill="1" applyBorder="1" applyAlignment="1" applyProtection="1">
      <alignment horizontal="center" vertical="center" wrapText="1"/>
      <protection/>
    </xf>
    <xf numFmtId="169" fontId="1" fillId="22" borderId="18" xfId="87" applyFont="1" applyFill="1" applyBorder="1" applyAlignment="1" applyProtection="1">
      <alignment horizontal="left"/>
      <protection locked="0"/>
    </xf>
    <xf numFmtId="169" fontId="1" fillId="22" borderId="13" xfId="87" applyFont="1" applyFill="1" applyBorder="1" applyAlignment="1" applyProtection="1">
      <alignment horizontal="left"/>
      <protection locked="0"/>
    </xf>
    <xf numFmtId="169" fontId="1" fillId="22" borderId="38" xfId="87" applyFont="1" applyFill="1" applyBorder="1" applyAlignment="1" applyProtection="1">
      <alignment horizontal="left"/>
      <protection locked="0"/>
    </xf>
    <xf numFmtId="0" fontId="0" fillId="0" borderId="18" xfId="90" applyFont="1" applyFill="1" applyBorder="1" applyAlignment="1" applyProtection="1">
      <alignment horizontal="center" vertical="top" wrapText="1"/>
      <protection/>
    </xf>
    <xf numFmtId="0" fontId="0" fillId="0" borderId="38" xfId="90" applyFont="1" applyFill="1" applyBorder="1" applyAlignment="1" applyProtection="1">
      <alignment horizontal="center" vertical="top" wrapText="1"/>
      <protection/>
    </xf>
    <xf numFmtId="0" fontId="0" fillId="0" borderId="18" xfId="90" applyFont="1" applyFill="1" applyBorder="1" applyAlignment="1" applyProtection="1">
      <alignment horizontal="left" vertical="top" wrapText="1"/>
      <protection/>
    </xf>
    <xf numFmtId="0" fontId="0" fillId="0" borderId="38" xfId="90" applyFont="1" applyFill="1" applyBorder="1" applyAlignment="1" applyProtection="1">
      <alignment horizontal="left" vertical="top" wrapText="1"/>
      <protection/>
    </xf>
    <xf numFmtId="49" fontId="0" fillId="0" borderId="18" xfId="90" applyNumberFormat="1" applyFont="1" applyFill="1" applyBorder="1" applyAlignment="1" applyProtection="1">
      <alignment horizontal="left" vertical="top" wrapText="1"/>
      <protection/>
    </xf>
    <xf numFmtId="0" fontId="0" fillId="0" borderId="13" xfId="90" applyNumberFormat="1" applyFont="1" applyFill="1" applyBorder="1" applyAlignment="1" applyProtection="1">
      <alignment horizontal="left" vertical="top" wrapText="1"/>
      <protection/>
    </xf>
    <xf numFmtId="0" fontId="0" fillId="0" borderId="38" xfId="90" applyNumberFormat="1" applyFont="1" applyFill="1" applyBorder="1" applyAlignment="1" applyProtection="1">
      <alignment horizontal="left" vertical="top" wrapText="1"/>
      <protection/>
    </xf>
    <xf numFmtId="0" fontId="1" fillId="0" borderId="16" xfId="87" applyNumberFormat="1" applyFont="1" applyFill="1" applyBorder="1" applyAlignment="1" applyProtection="1">
      <alignment horizontal="left" wrapText="1"/>
      <protection/>
    </xf>
    <xf numFmtId="0" fontId="43" fillId="0" borderId="0" xfId="90" applyFont="1" applyAlignment="1" applyProtection="1">
      <alignment horizontal="center" vertical="top" wrapText="1"/>
      <protection/>
    </xf>
    <xf numFmtId="171" fontId="0" fillId="0" borderId="13" xfId="90" applyNumberFormat="1" applyFont="1" applyFill="1" applyBorder="1" applyAlignment="1" applyProtection="1">
      <alignment horizontal="left"/>
      <protection/>
    </xf>
    <xf numFmtId="0" fontId="0" fillId="0" borderId="14" xfId="90" applyFont="1" applyBorder="1" applyAlignment="1" applyProtection="1">
      <alignment horizontal="left" vertical="center" wrapText="1"/>
      <protection/>
    </xf>
    <xf numFmtId="0" fontId="0" fillId="0" borderId="14" xfId="90" applyFont="1" applyBorder="1" applyAlignment="1" applyProtection="1">
      <alignment horizontal="left" vertical="center"/>
      <protection/>
    </xf>
    <xf numFmtId="0" fontId="21" fillId="0" borderId="14" xfId="90" applyFont="1" applyFill="1" applyBorder="1" applyAlignment="1" applyProtection="1">
      <alignment horizontal="center" vertical="center"/>
      <protection/>
    </xf>
    <xf numFmtId="0" fontId="33" fillId="0" borderId="14" xfId="90" applyFont="1" applyBorder="1" applyAlignment="1" applyProtection="1">
      <alignment horizontal="center" vertical="center" wrapText="1"/>
      <protection/>
    </xf>
    <xf numFmtId="0" fontId="38" fillId="0" borderId="0" xfId="0" applyFont="1" applyBorder="1" applyAlignment="1" applyProtection="1" quotePrefix="1">
      <alignment horizontal="left" vertical="center"/>
      <protection/>
    </xf>
    <xf numFmtId="0" fontId="38" fillId="0" borderId="0" xfId="0" applyFont="1" applyBorder="1" applyAlignment="1" applyProtection="1">
      <alignment horizontal="left" vertical="center"/>
      <protection/>
    </xf>
    <xf numFmtId="0" fontId="39" fillId="0" borderId="0" xfId="0" applyFont="1" applyBorder="1" applyAlignment="1" applyProtection="1">
      <alignment horizontal="center"/>
      <protection/>
    </xf>
    <xf numFmtId="0" fontId="38" fillId="0" borderId="0" xfId="0" applyFont="1" applyBorder="1" applyAlignment="1" applyProtection="1">
      <alignment horizontal="center" vertical="top"/>
      <protection/>
    </xf>
    <xf numFmtId="0" fontId="38" fillId="0" borderId="0" xfId="0" applyFont="1" applyBorder="1" applyAlignment="1" applyProtection="1">
      <alignment horizontal="right" vertical="center"/>
      <protection/>
    </xf>
    <xf numFmtId="171" fontId="0" fillId="0" borderId="0" xfId="90" applyNumberFormat="1" applyFont="1" applyFill="1" applyBorder="1" applyAlignment="1" applyProtection="1">
      <alignment horizontal="left"/>
      <protection/>
    </xf>
    <xf numFmtId="0" fontId="41" fillId="0" borderId="0" xfId="90" applyFont="1" applyAlignment="1" applyProtection="1">
      <alignment horizontal="left" vertical="center" indent="1"/>
      <protection/>
    </xf>
    <xf numFmtId="0" fontId="36" fillId="0" borderId="0" xfId="90" applyFont="1" applyBorder="1" applyAlignment="1" applyProtection="1">
      <alignment horizontal="left" vertical="center" wrapText="1"/>
      <protection/>
    </xf>
    <xf numFmtId="2" fontId="31" fillId="0" borderId="17" xfId="90" applyNumberFormat="1" applyFont="1" applyFill="1" applyBorder="1" applyAlignment="1" applyProtection="1">
      <alignment horizontal="center" vertical="center"/>
      <protection/>
    </xf>
    <xf numFmtId="0" fontId="0" fillId="0" borderId="0" xfId="90" applyFont="1" applyBorder="1" applyAlignment="1" applyProtection="1">
      <alignment horizontal="center" vertical="center"/>
      <protection/>
    </xf>
    <xf numFmtId="168" fontId="0" fillId="0" borderId="13" xfId="90" applyNumberFormat="1" applyFont="1" applyBorder="1" applyAlignment="1" applyProtection="1">
      <alignment horizontal="left"/>
      <protection/>
    </xf>
    <xf numFmtId="49" fontId="0" fillId="22" borderId="32" xfId="90" applyNumberFormat="1" applyFont="1" applyFill="1" applyBorder="1" applyAlignment="1" applyProtection="1">
      <alignment horizontal="left" vertical="top" wrapText="1"/>
      <protection locked="0"/>
    </xf>
    <xf numFmtId="49" fontId="0" fillId="22" borderId="10" xfId="90" applyNumberFormat="1" applyFont="1" applyFill="1" applyBorder="1" applyAlignment="1" applyProtection="1">
      <alignment horizontal="left" vertical="top" wrapText="1"/>
      <protection locked="0"/>
    </xf>
    <xf numFmtId="49" fontId="0" fillId="22" borderId="19" xfId="90" applyNumberFormat="1" applyFont="1" applyFill="1" applyBorder="1" applyAlignment="1" applyProtection="1">
      <alignment horizontal="left" vertical="top" wrapText="1"/>
      <protection locked="0"/>
    </xf>
    <xf numFmtId="0" fontId="0" fillId="0" borderId="17" xfId="90" applyFont="1" applyBorder="1" applyAlignment="1" applyProtection="1">
      <alignment horizontal="center" vertical="center"/>
      <protection/>
    </xf>
    <xf numFmtId="0" fontId="0" fillId="0" borderId="14" xfId="0" applyFont="1" applyBorder="1" applyAlignment="1">
      <alignment horizontal="center"/>
    </xf>
    <xf numFmtId="0" fontId="24" fillId="0" borderId="32" xfId="0" applyFont="1" applyFill="1" applyBorder="1" applyAlignment="1" applyProtection="1">
      <alignment horizontal="left" wrapText="1"/>
      <protection/>
    </xf>
    <xf numFmtId="0" fontId="24" fillId="0" borderId="10" xfId="0" applyFont="1" applyFill="1" applyBorder="1" applyAlignment="1" applyProtection="1">
      <alignment horizontal="left" wrapText="1"/>
      <protection/>
    </xf>
    <xf numFmtId="0" fontId="24" fillId="0" borderId="19" xfId="0" applyFont="1" applyFill="1" applyBorder="1" applyAlignment="1" applyProtection="1">
      <alignment horizontal="left" wrapText="1"/>
      <protection/>
    </xf>
    <xf numFmtId="0" fontId="28" fillId="22" borderId="11" xfId="0" applyFont="1" applyFill="1" applyBorder="1" applyAlignment="1" applyProtection="1">
      <alignment horizontal="left" wrapText="1"/>
      <protection locked="0"/>
    </xf>
    <xf numFmtId="0" fontId="28" fillId="22" borderId="0" xfId="0" applyFont="1" applyFill="1" applyBorder="1" applyAlignment="1" applyProtection="1">
      <alignment horizontal="left" wrapText="1"/>
      <protection locked="0"/>
    </xf>
    <xf numFmtId="0" fontId="28" fillId="22" borderId="12" xfId="0" applyFont="1" applyFill="1" applyBorder="1" applyAlignment="1" applyProtection="1">
      <alignment horizontal="left" wrapText="1"/>
      <protection locked="0"/>
    </xf>
    <xf numFmtId="0" fontId="28" fillId="22" borderId="18" xfId="0" applyFont="1" applyFill="1" applyBorder="1" applyAlignment="1" applyProtection="1">
      <alignment horizontal="left" wrapText="1"/>
      <protection locked="0"/>
    </xf>
    <xf numFmtId="0" fontId="28" fillId="22" borderId="13" xfId="0" applyFont="1" applyFill="1" applyBorder="1" applyAlignment="1" applyProtection="1">
      <alignment horizontal="left" wrapText="1"/>
      <protection locked="0"/>
    </xf>
    <xf numFmtId="0" fontId="28" fillId="22" borderId="38" xfId="0" applyFont="1" applyFill="1" applyBorder="1" applyAlignment="1" applyProtection="1">
      <alignment horizontal="left" wrapText="1"/>
      <protection locked="0"/>
    </xf>
    <xf numFmtId="0" fontId="28" fillId="0" borderId="32" xfId="0" applyFont="1" applyBorder="1" applyAlignment="1" applyProtection="1">
      <alignment horizontal="left" vertical="center"/>
      <protection locked="0"/>
    </xf>
    <xf numFmtId="0" fontId="28" fillId="0" borderId="10" xfId="0" applyFont="1" applyBorder="1" applyAlignment="1" applyProtection="1">
      <alignment horizontal="left" vertical="center"/>
      <protection locked="0"/>
    </xf>
    <xf numFmtId="0" fontId="28" fillId="0" borderId="19" xfId="0" applyFont="1" applyBorder="1" applyAlignment="1" applyProtection="1">
      <alignment horizontal="left" vertical="center"/>
      <protection locked="0"/>
    </xf>
    <xf numFmtId="170" fontId="0" fillId="0" borderId="0" xfId="0" applyNumberFormat="1" applyFont="1" applyBorder="1" applyAlignment="1" applyProtection="1">
      <alignment horizontal="left"/>
      <protection locked="0"/>
    </xf>
    <xf numFmtId="171" fontId="0" fillId="0" borderId="13" xfId="0" applyNumberFormat="1" applyFont="1" applyBorder="1" applyAlignment="1" applyProtection="1">
      <alignment horizontal="left"/>
      <protection locked="0"/>
    </xf>
    <xf numFmtId="171" fontId="0" fillId="0" borderId="13" xfId="0" applyNumberFormat="1" applyFont="1" applyBorder="1" applyAlignment="1" applyProtection="1">
      <alignment horizontal="left"/>
      <protection/>
    </xf>
    <xf numFmtId="170" fontId="0" fillId="0" borderId="13" xfId="0" applyNumberFormat="1" applyFont="1" applyBorder="1" applyAlignment="1" applyProtection="1">
      <alignment horizontal="left"/>
      <protection/>
    </xf>
    <xf numFmtId="170" fontId="0" fillId="0" borderId="13" xfId="0" applyNumberFormat="1" applyFont="1" applyBorder="1" applyAlignment="1" applyProtection="1">
      <alignment horizontal="left" vertical="center"/>
      <protection/>
    </xf>
    <xf numFmtId="0" fontId="28" fillId="7" borderId="36" xfId="0" applyFont="1" applyFill="1" applyBorder="1" applyAlignment="1" applyProtection="1">
      <alignment horizontal="center" vertical="center" shrinkToFit="1"/>
      <protection/>
    </xf>
    <xf numFmtId="0" fontId="28" fillId="7" borderId="11" xfId="0" applyFont="1" applyFill="1" applyBorder="1" applyAlignment="1" applyProtection="1">
      <alignment horizontal="center" vertical="center" shrinkToFit="1"/>
      <protection/>
    </xf>
    <xf numFmtId="0" fontId="28" fillId="7" borderId="37" xfId="0" applyFont="1" applyFill="1" applyBorder="1" applyAlignment="1" applyProtection="1">
      <alignment horizontal="center" vertical="center" wrapText="1"/>
      <protection/>
    </xf>
    <xf numFmtId="0" fontId="28" fillId="7" borderId="12" xfId="0" applyFont="1" applyFill="1" applyBorder="1" applyAlignment="1" applyProtection="1">
      <alignment horizontal="center" vertical="center" wrapText="1"/>
      <protection/>
    </xf>
    <xf numFmtId="0" fontId="24" fillId="24" borderId="21" xfId="0" applyFont="1" applyFill="1" applyBorder="1" applyAlignment="1" applyProtection="1">
      <alignment horizontal="center" vertical="center" wrapText="1"/>
      <protection/>
    </xf>
    <xf numFmtId="0" fontId="24" fillId="24" borderId="39" xfId="0" applyFont="1" applyFill="1" applyBorder="1" applyAlignment="1" applyProtection="1">
      <alignment horizontal="center" vertical="center" wrapText="1"/>
      <protection/>
    </xf>
    <xf numFmtId="0" fontId="24" fillId="24" borderId="11" xfId="0" applyFont="1" applyFill="1" applyBorder="1" applyAlignment="1" applyProtection="1">
      <alignment horizontal="center" vertical="center" wrapText="1"/>
      <protection/>
    </xf>
    <xf numFmtId="0" fontId="24" fillId="24" borderId="12" xfId="0" applyFont="1" applyFill="1" applyBorder="1" applyAlignment="1" applyProtection="1">
      <alignment horizontal="center" vertical="center" wrapText="1"/>
      <protection/>
    </xf>
    <xf numFmtId="0" fontId="24" fillId="24" borderId="18" xfId="0" applyFont="1" applyFill="1" applyBorder="1" applyAlignment="1" applyProtection="1">
      <alignment horizontal="center" vertical="center" wrapText="1"/>
      <protection/>
    </xf>
    <xf numFmtId="0" fontId="24" fillId="24" borderId="38" xfId="0" applyFont="1" applyFill="1" applyBorder="1" applyAlignment="1" applyProtection="1">
      <alignment horizontal="center" vertical="center" wrapText="1"/>
      <protection/>
    </xf>
    <xf numFmtId="4" fontId="24" fillId="24" borderId="30" xfId="0" applyNumberFormat="1" applyFont="1" applyFill="1" applyBorder="1" applyAlignment="1" applyProtection="1">
      <alignment horizontal="center" vertical="center" shrinkToFit="1"/>
      <protection/>
    </xf>
    <xf numFmtId="4" fontId="24" fillId="24" borderId="15" xfId="0" applyNumberFormat="1" applyFont="1" applyFill="1" applyBorder="1" applyAlignment="1" applyProtection="1">
      <alignment horizontal="center" vertical="center" shrinkToFit="1"/>
      <protection/>
    </xf>
    <xf numFmtId="4" fontId="24" fillId="24" borderId="16" xfId="0" applyNumberFormat="1" applyFont="1" applyFill="1" applyBorder="1" applyAlignment="1" applyProtection="1">
      <alignment horizontal="center" vertical="center" shrinkToFit="1"/>
      <protection/>
    </xf>
    <xf numFmtId="4" fontId="28" fillId="7" borderId="28" xfId="0" applyNumberFormat="1" applyFont="1" applyFill="1" applyBorder="1" applyAlignment="1" applyProtection="1">
      <alignment horizontal="center" vertical="center"/>
      <protection/>
    </xf>
    <xf numFmtId="4" fontId="28" fillId="7" borderId="15" xfId="0" applyNumberFormat="1" applyFont="1" applyFill="1" applyBorder="1" applyAlignment="1" applyProtection="1">
      <alignment horizontal="center" vertical="center"/>
      <protection/>
    </xf>
    <xf numFmtId="0" fontId="28" fillId="0" borderId="0" xfId="0" applyFont="1" applyAlignment="1" applyProtection="1">
      <alignment horizontal="center" vertical="top" wrapText="1"/>
      <protection/>
    </xf>
    <xf numFmtId="168" fontId="0"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horizontal="left"/>
      <protection/>
    </xf>
    <xf numFmtId="0" fontId="0" fillId="0" borderId="0" xfId="0" applyFont="1" applyFill="1" applyBorder="1" applyAlignment="1" applyProtection="1">
      <alignment horizontal="left"/>
      <protection/>
    </xf>
    <xf numFmtId="171" fontId="0" fillId="0" borderId="13" xfId="0" applyNumberFormat="1" applyFont="1" applyFill="1" applyBorder="1" applyAlignment="1" applyProtection="1">
      <alignment horizontal="left" vertical="center"/>
      <protection/>
    </xf>
  </cellXfs>
  <cellStyles count="94">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20% - Ênfase1" xfId="26"/>
    <cellStyle name="20% - Ênfase2" xfId="27"/>
    <cellStyle name="20% - Ênfase3" xfId="28"/>
    <cellStyle name="20% - Ênfase4" xfId="29"/>
    <cellStyle name="20% - Ênfase5" xfId="30"/>
    <cellStyle name="20% - Ênfase6" xfId="31"/>
    <cellStyle name="40% - Accent1" xfId="32"/>
    <cellStyle name="40% - Accent2" xfId="33"/>
    <cellStyle name="40% - Accent3" xfId="34"/>
    <cellStyle name="40% - Accent4" xfId="35"/>
    <cellStyle name="40% - Accent5" xfId="36"/>
    <cellStyle name="40% - Accent6" xfId="37"/>
    <cellStyle name="40% - Ênfase1" xfId="38"/>
    <cellStyle name="40% - Ênfase2" xfId="39"/>
    <cellStyle name="40% - Ênfase3" xfId="40"/>
    <cellStyle name="40% - Ênfase4" xfId="41"/>
    <cellStyle name="40% - Ênfase5" xfId="42"/>
    <cellStyle name="40% - Ênfase6" xfId="43"/>
    <cellStyle name="60% - Accent1" xfId="44"/>
    <cellStyle name="60% - Accent2" xfId="45"/>
    <cellStyle name="60% - Accent3" xfId="46"/>
    <cellStyle name="60% - Accent4" xfId="47"/>
    <cellStyle name="60% - Accent5" xfId="48"/>
    <cellStyle name="60% - Accent6" xfId="49"/>
    <cellStyle name="60% - Ênfase1" xfId="50"/>
    <cellStyle name="60% - Ênfase2" xfId="51"/>
    <cellStyle name="60% - Ênfase3" xfId="52"/>
    <cellStyle name="60% - Ênfase4" xfId="53"/>
    <cellStyle name="60% - Ênfase5" xfId="54"/>
    <cellStyle name="60% - Ênfase6" xfId="55"/>
    <cellStyle name="Accent1" xfId="56"/>
    <cellStyle name="Accent2" xfId="57"/>
    <cellStyle name="Accent3" xfId="58"/>
    <cellStyle name="Accent4" xfId="59"/>
    <cellStyle name="Accent5" xfId="60"/>
    <cellStyle name="Accent6" xfId="61"/>
    <cellStyle name="Bad" xfId="62"/>
    <cellStyle name="Bom" xfId="63"/>
    <cellStyle name="Calculation" xfId="64"/>
    <cellStyle name="Cálculo" xfId="65"/>
    <cellStyle name="Célula de Verificação" xfId="66"/>
    <cellStyle name="Célula Vinculada" xfId="67"/>
    <cellStyle name="Check Cell" xfId="68"/>
    <cellStyle name="Ênfase1" xfId="69"/>
    <cellStyle name="Ênfase2" xfId="70"/>
    <cellStyle name="Ênfase3" xfId="71"/>
    <cellStyle name="Ênfase4" xfId="72"/>
    <cellStyle name="Ênfase5" xfId="73"/>
    <cellStyle name="Ênfase6" xfId="74"/>
    <cellStyle name="Entrada" xfId="75"/>
    <cellStyle name="Excel Built-in Normal" xfId="76"/>
    <cellStyle name="Explanatory Text" xfId="77"/>
    <cellStyle name="Good" xfId="78"/>
    <cellStyle name="Heading 1" xfId="79"/>
    <cellStyle name="Heading 2" xfId="80"/>
    <cellStyle name="Heading 3" xfId="81"/>
    <cellStyle name="Heading 4" xfId="82"/>
    <cellStyle name="Ruim" xfId="83"/>
    <cellStyle name="Input" xfId="84"/>
    <cellStyle name="Linked Cell" xfId="85"/>
    <cellStyle name="Moeda 2" xfId="86"/>
    <cellStyle name="Moeda_Composicao BDI v2.1" xfId="87"/>
    <cellStyle name="Neutro" xfId="88"/>
    <cellStyle name="Neutral" xfId="89"/>
    <cellStyle name="Normal 2" xfId="90"/>
    <cellStyle name="Normal_FICHA DE VERIFICAÇÃO PRELIMINAR - Plano R" xfId="91"/>
    <cellStyle name="Nota" xfId="92"/>
    <cellStyle name="Note" xfId="93"/>
    <cellStyle name="Output" xfId="94"/>
    <cellStyle name="Porcentagem" xfId="95"/>
    <cellStyle name="Saída" xfId="96"/>
    <cellStyle name="Texto de Aviso" xfId="97"/>
    <cellStyle name="Texto Explicativo" xfId="98"/>
    <cellStyle name="Title" xfId="99"/>
    <cellStyle name="Título" xfId="100"/>
    <cellStyle name="Título 1" xfId="101"/>
    <cellStyle name="Título 2" xfId="102"/>
    <cellStyle name="Título 3" xfId="103"/>
    <cellStyle name="Título 4" xfId="104"/>
    <cellStyle name="Total" xfId="105"/>
    <cellStyle name="Vírgula" xfId="106"/>
    <cellStyle name="Warning Text" xfId="107"/>
  </cellStyles>
  <dxfs count="274">
    <dxf>
      <font>
        <condense val="0"/>
        <extend val="0"/>
      </font>
      <border>
        <top style="thin"/>
      </border>
    </dxf>
    <dxf>
      <fill>
        <patternFill>
          <bgColor indexed="55"/>
        </patternFill>
      </fill>
      <border/>
    </dxf>
    <dxf>
      <font>
        <color indexed="9"/>
        <condense val="0"/>
        <extend val="0"/>
      </font>
      <fill>
        <patternFill patternType="none"/>
      </fill>
      <border>
        <top/>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font>
        <condense val="0"/>
        <extend val="0"/>
      </font>
      <border>
        <top style="thin"/>
      </border>
    </dxf>
    <dxf>
      <fill>
        <patternFill>
          <bgColor indexed="55"/>
        </patternFill>
      </fill>
      <border/>
    </dxf>
    <dxf>
      <font>
        <color indexed="9"/>
        <condense val="0"/>
        <extend val="0"/>
      </font>
      <fill>
        <patternFill patternType="none"/>
      </fill>
      <border>
        <top/>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border>
        <top style="thin"/>
      </border>
    </dxf>
    <dxf>
      <fill>
        <patternFill>
          <bgColor indexed="55"/>
        </patternFill>
      </fill>
      <border/>
    </dxf>
    <dxf>
      <font>
        <b/>
        <i val="0"/>
      </font>
      <fill>
        <patternFill>
          <bgColor indexed="55"/>
        </patternFill>
      </fill>
      <border>
        <top style="thin"/>
      </border>
    </dxf>
    <dxf>
      <font>
        <b/>
        <i val="0"/>
      </font>
      <fill>
        <patternFill>
          <bgColor indexed="55"/>
        </patternFill>
      </fill>
      <border>
        <top style="thin"/>
      </border>
    </dxf>
    <dxf>
      <font>
        <condense val="0"/>
        <extend val="0"/>
      </font>
      <border>
        <top style="thin"/>
      </border>
    </dxf>
    <dxf>
      <fill>
        <patternFill>
          <bgColor indexed="55"/>
        </patternFill>
      </fill>
      <border/>
    </dxf>
    <dxf>
      <font>
        <color indexed="9"/>
        <condense val="0"/>
        <extend val="0"/>
      </font>
      <fill>
        <patternFill patternType="none"/>
      </fill>
      <border>
        <top/>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font>
        <condense val="0"/>
        <extend val="0"/>
      </font>
      <border>
        <top style="thin"/>
      </border>
    </dxf>
    <dxf>
      <fill>
        <patternFill>
          <bgColor indexed="55"/>
        </patternFill>
      </fill>
      <border/>
    </dxf>
    <dxf>
      <font>
        <color indexed="9"/>
        <condense val="0"/>
        <extend val="0"/>
      </font>
      <fill>
        <patternFill patternType="none"/>
      </fill>
      <border>
        <top/>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border>
        <top style="thin"/>
      </border>
    </dxf>
    <dxf>
      <fill>
        <patternFill>
          <bgColor indexed="55"/>
        </patternFill>
      </fill>
      <border/>
    </dxf>
    <dxf>
      <font>
        <b/>
        <i val="0"/>
      </font>
      <fill>
        <patternFill>
          <bgColor indexed="55"/>
        </patternFill>
      </fill>
      <border>
        <top style="thin"/>
      </border>
    </dxf>
    <dxf>
      <font>
        <b/>
        <i val="0"/>
      </font>
      <fill>
        <patternFill>
          <bgColor indexed="55"/>
        </patternFill>
      </fill>
      <border>
        <top style="thin"/>
      </border>
    </dxf>
    <dxf>
      <font>
        <condense val="0"/>
        <extend val="0"/>
      </font>
      <border>
        <top style="thin"/>
      </border>
    </dxf>
    <dxf>
      <fill>
        <patternFill>
          <bgColor indexed="55"/>
        </patternFill>
      </fill>
      <border/>
    </dxf>
    <dxf>
      <font>
        <color indexed="9"/>
        <condense val="0"/>
        <extend val="0"/>
      </font>
      <fill>
        <patternFill patternType="none"/>
      </fill>
      <border>
        <top/>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font>
        <condense val="0"/>
        <extend val="0"/>
      </font>
      <border>
        <top style="thin"/>
      </border>
    </dxf>
    <dxf>
      <fill>
        <patternFill>
          <bgColor indexed="55"/>
        </patternFill>
      </fill>
      <border/>
    </dxf>
    <dxf>
      <font>
        <color indexed="9"/>
        <condense val="0"/>
        <extend val="0"/>
      </font>
      <fill>
        <patternFill patternType="none"/>
      </fill>
      <border>
        <top/>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border>
        <top style="thin"/>
      </border>
    </dxf>
    <dxf>
      <fill>
        <patternFill>
          <bgColor indexed="55"/>
        </patternFill>
      </fill>
      <border/>
    </dxf>
    <dxf>
      <font>
        <b/>
        <i val="0"/>
      </font>
      <fill>
        <patternFill>
          <bgColor indexed="55"/>
        </patternFill>
      </fill>
      <border>
        <top style="thin"/>
      </border>
    </dxf>
    <dxf>
      <border>
        <bottom style="thin"/>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font>
        <condense val="0"/>
        <extend val="0"/>
      </font>
      <border>
        <top style="thin"/>
      </border>
    </dxf>
    <dxf>
      <fill>
        <patternFill>
          <bgColor indexed="55"/>
        </patternFill>
      </fill>
      <border/>
    </dxf>
    <dxf>
      <font>
        <color indexed="9"/>
        <condense val="0"/>
        <extend val="0"/>
      </font>
      <fill>
        <patternFill patternType="none"/>
      </fill>
      <border>
        <top/>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font>
        <condense val="0"/>
        <extend val="0"/>
      </font>
      <border>
        <top style="thin"/>
      </border>
    </dxf>
    <dxf>
      <fill>
        <patternFill>
          <bgColor indexed="55"/>
        </patternFill>
      </fill>
      <border/>
    </dxf>
    <dxf>
      <font>
        <color indexed="9"/>
        <condense val="0"/>
        <extend val="0"/>
      </font>
      <fill>
        <patternFill patternType="none"/>
      </fill>
      <border>
        <top/>
      </border>
    </dxf>
    <dxf>
      <font>
        <condense val="0"/>
        <extend val="0"/>
      </font>
      <border>
        <top style="thin"/>
      </border>
    </dxf>
    <dxf>
      <fill>
        <patternFill>
          <bgColor indexed="55"/>
        </patternFill>
      </fill>
      <border/>
    </dxf>
    <dxf>
      <font>
        <color indexed="9"/>
        <condense val="0"/>
        <extend val="0"/>
      </font>
      <fill>
        <patternFill patternType="none"/>
      </fill>
      <border>
        <top/>
      </border>
    </dxf>
    <dxf>
      <border>
        <bottom style="thin"/>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font>
        <condense val="0"/>
        <extend val="0"/>
      </font>
      <border>
        <top style="thin"/>
      </border>
    </dxf>
    <dxf>
      <fill>
        <patternFill>
          <bgColor indexed="55"/>
        </patternFill>
      </fill>
      <border/>
    </dxf>
    <dxf>
      <font>
        <color indexed="9"/>
        <condense val="0"/>
        <extend val="0"/>
      </font>
      <fill>
        <patternFill patternType="none"/>
      </fill>
      <border>
        <top/>
      </border>
    </dxf>
    <dxf>
      <font>
        <b/>
        <i val="0"/>
      </font>
      <fill>
        <patternFill>
          <bgColor indexed="55"/>
        </patternFill>
      </fill>
      <border>
        <top style="thin"/>
      </border>
    </dxf>
    <dxf>
      <font>
        <color indexed="9"/>
        <condense val="0"/>
        <extend val="0"/>
      </font>
      <fill>
        <patternFill patternType="none"/>
      </fill>
      <border>
        <left/>
        <right/>
        <top/>
        <bottom/>
      </border>
    </dxf>
    <dxf>
      <font>
        <b/>
        <i val="0"/>
        <color indexed="9"/>
        <condense val="0"/>
        <extend val="0"/>
      </font>
      <fill>
        <patternFill>
          <bgColor indexed="10"/>
        </patternFill>
      </fill>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border>
        <top style="thin"/>
      </border>
    </dxf>
    <dxf>
      <fill>
        <patternFill>
          <bgColor indexed="55"/>
        </patternFill>
      </fill>
      <border/>
    </dxf>
    <dxf>
      <font>
        <b/>
        <i val="0"/>
      </font>
      <fill>
        <patternFill>
          <bgColor indexed="55"/>
        </patternFill>
      </fill>
      <border>
        <top style="thin"/>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ill>
        <patternFill patternType="none"/>
      </fill>
      <border/>
    </dxf>
    <dxf>
      <font>
        <color indexed="47"/>
        <condense val="0"/>
        <extend val="0"/>
      </font>
      <fill>
        <patternFill>
          <bgColor indexed="47"/>
        </patternFill>
      </fill>
      <border/>
    </dxf>
    <dxf>
      <font>
        <b/>
        <i val="0"/>
        <color indexed="55"/>
        <condense val="0"/>
        <extend val="0"/>
      </font>
      <fill>
        <patternFill>
          <bgColor indexed="55"/>
        </patternFill>
      </fill>
      <border/>
    </dxf>
    <dxf>
      <fill>
        <patternFill patternType="none"/>
      </fill>
      <border/>
    </dxf>
    <dxf>
      <font>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ill>
        <patternFill patternType="none"/>
      </fill>
      <border/>
    </dxf>
    <dxf>
      <font>
        <color indexed="47"/>
        <condense val="0"/>
        <extend val="0"/>
      </font>
      <fill>
        <patternFill>
          <bgColor indexed="47"/>
        </patternFill>
      </fill>
      <border/>
    </dxf>
    <dxf>
      <fill>
        <patternFill patternType="none"/>
      </fill>
      <border/>
    </dxf>
    <dxf>
      <font>
        <color indexed="47"/>
        <condense val="0"/>
        <extend val="0"/>
      </font>
      <fill>
        <patternFill>
          <bgColor indexed="47"/>
        </patternFill>
      </fill>
      <border/>
    </dxf>
    <dxf>
      <font>
        <b/>
        <i val="0"/>
        <color indexed="55"/>
        <condense val="0"/>
        <extend val="0"/>
      </font>
      <fill>
        <patternFill>
          <bgColor indexed="55"/>
        </patternFill>
      </fill>
      <border/>
    </dxf>
    <dxf>
      <fill>
        <patternFill patternType="none"/>
      </fill>
      <border/>
    </dxf>
    <dxf>
      <font>
        <color indexed="47"/>
        <condense val="0"/>
        <extend val="0"/>
      </font>
      <fill>
        <patternFill>
          <bgColor indexed="47"/>
        </patternFill>
      </fill>
      <border/>
    </dxf>
    <dxf>
      <fill>
        <patternFill patternType="none"/>
      </fill>
      <border/>
    </dxf>
    <dxf>
      <font>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ill>
        <patternFill patternType="none"/>
      </fill>
      <border/>
    </dxf>
    <dxf>
      <fill>
        <patternFill patternType="none"/>
      </fill>
      <border/>
    </dxf>
    <dxf>
      <font>
        <condense val="0"/>
        <extend val="0"/>
      </font>
      <fill>
        <patternFill patternType="none"/>
      </fill>
      <border/>
    </dxf>
    <dxf>
      <font>
        <b/>
        <i val="0"/>
      </font>
      <fill>
        <patternFill>
          <bgColor indexed="47"/>
        </patternFill>
      </fill>
      <border/>
    </dxf>
    <dxf>
      <font>
        <b/>
        <i val="0"/>
        <u val="single"/>
        <color auto="1"/>
        <condense val="0"/>
        <extend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ill>
        <patternFill patternType="none"/>
      </fill>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ont>
        <b/>
        <i val="0"/>
      </font>
      <fill>
        <patternFill>
          <bgColor indexed="47"/>
        </patternFill>
      </fill>
      <border/>
    </dxf>
    <dxf>
      <font>
        <b/>
        <i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ill>
        <patternFill>
          <bgColor theme="0"/>
        </patternFill>
      </fill>
      <border/>
    </dxf>
    <dxf>
      <font>
        <b/>
        <i val="0"/>
        <name val="Cambria"/>
        <color indexed="47"/>
      </font>
      <fill>
        <patternFill>
          <bgColor indexed="47"/>
        </patternFill>
      </fill>
      <border/>
    </dxf>
    <dxf>
      <font>
        <b/>
        <i val="0"/>
        <name val="Cambria"/>
        <color indexed="55"/>
        <condense val="0"/>
        <extend val="0"/>
      </font>
      <fill>
        <patternFill>
          <bgColor indexed="55"/>
        </patternFill>
      </fill>
      <border>
        <top style="thin"/>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top style="thin"/>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ont>
        <condense val="0"/>
        <extend val="0"/>
      </font>
      <fill>
        <patternFill patternType="none"/>
      </fill>
      <border/>
    </dxf>
    <dxf>
      <font>
        <b/>
        <i val="0"/>
      </font>
      <fill>
        <patternFill>
          <bgColor indexed="47"/>
        </patternFill>
      </fill>
      <border/>
    </dxf>
    <dxf>
      <font>
        <b/>
        <i val="0"/>
        <u val="single"/>
        <color auto="1"/>
        <condense val="0"/>
        <extend val="0"/>
      </font>
      <fill>
        <patternFill>
          <bgColor indexed="55"/>
        </patternFill>
      </fill>
      <border>
        <top style="thin"/>
      </border>
    </dxf>
    <dxf>
      <font>
        <condense val="0"/>
        <extend val="0"/>
      </font>
      <fill>
        <patternFill patternType="none"/>
      </fill>
      <border/>
    </dxf>
    <dxf>
      <font>
        <b/>
        <i val="0"/>
      </font>
      <fill>
        <patternFill>
          <bgColor indexed="47"/>
        </patternFill>
      </fill>
      <border/>
    </dxf>
    <dxf>
      <font>
        <b/>
        <i val="0"/>
        <u val="single"/>
        <color auto="1"/>
        <condense val="0"/>
        <extend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ill>
        <patternFill patternType="none"/>
      </fill>
      <border/>
    </dxf>
    <dxf>
      <fill>
        <patternFill>
          <bgColor indexed="43"/>
        </patternFill>
      </fill>
      <border/>
    </dxf>
    <dxf>
      <font>
        <color indexed="9"/>
        <condense val="0"/>
        <extend val="0"/>
      </font>
      <fill>
        <patternFill patternType="none"/>
      </fill>
      <border>
        <left/>
        <right/>
        <top/>
        <bottom/>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ont>
        <b/>
        <i val="0"/>
      </font>
      <fill>
        <patternFill>
          <bgColor indexed="47"/>
        </patternFill>
      </fill>
      <border/>
    </dxf>
    <dxf>
      <font>
        <b/>
        <i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ill>
        <patternFill>
          <bgColor theme="0"/>
        </patternFill>
      </fill>
      <border/>
    </dxf>
    <dxf>
      <font>
        <b/>
        <i val="0"/>
        <name val="Cambria"/>
        <color indexed="47"/>
      </font>
      <fill>
        <patternFill>
          <bgColor indexed="47"/>
        </patternFill>
      </fill>
      <border/>
    </dxf>
    <dxf>
      <font>
        <b/>
        <i val="0"/>
        <name val="Cambria"/>
        <color indexed="55"/>
        <condense val="0"/>
        <extend val="0"/>
      </font>
      <fill>
        <patternFill>
          <bgColor indexed="55"/>
        </patternFill>
      </fill>
      <border>
        <top style="thin"/>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top style="thin"/>
      </border>
    </dxf>
    <dxf>
      <font>
        <b/>
        <i val="0"/>
      </font>
      <fill>
        <patternFill>
          <bgColor rgb="FFC0C0C0"/>
        </patternFill>
      </fill>
      <border/>
    </dxf>
    <dxf>
      <font>
        <b/>
        <i val="0"/>
      </font>
      <fill>
        <patternFill>
          <bgColor rgb="FF969696"/>
        </patternFill>
      </fill>
      <border/>
    </dxf>
    <dxf>
      <font>
        <color theme="1"/>
      </font>
      <border/>
    </dxf>
    <dxf>
      <font>
        <b/>
        <i val="0"/>
      </font>
      <fill>
        <patternFill>
          <bgColor rgb="FFC0C0C0"/>
        </patternFill>
      </fill>
      <border/>
    </dxf>
    <dxf>
      <font>
        <b/>
        <i val="0"/>
      </font>
      <fill>
        <patternFill>
          <bgColor rgb="FF969696"/>
        </patternFill>
      </fill>
      <border/>
    </dxf>
    <dxf>
      <font>
        <color theme="0"/>
      </font>
      <fill>
        <patternFill patternType="none"/>
      </fill>
      <border/>
    </dxf>
    <dxf>
      <font>
        <color theme="0"/>
      </font>
      <fill>
        <patternFill>
          <bgColor theme="0"/>
        </patternFill>
      </fill>
      <border>
        <left/>
        <right/>
        <top/>
        <bottom/>
      </border>
    </dxf>
    <dxf>
      <fill>
        <patternFill>
          <bgColor rgb="FFFFFF9E"/>
        </patternFill>
      </fill>
      <border/>
    </dxf>
    <dxf>
      <border>
        <left style="thin"/>
        <right style="thin"/>
        <top style="thin"/>
        <bottom style="thin"/>
      </border>
    </dxf>
    <dxf>
      <font>
        <b/>
        <i val="0"/>
        <color theme="1"/>
      </font>
      <fill>
        <patternFill>
          <bgColor theme="0" tint="-0.149959996342659"/>
        </patternFill>
      </fill>
      <border>
        <left style="thin"/>
        <right style="thin"/>
        <top style="thin"/>
        <bottom style="thin"/>
      </border>
    </dxf>
    <dxf>
      <font>
        <b/>
        <i val="0"/>
      </font>
      <fill>
        <patternFill>
          <bgColor theme="0" tint="-0.149959996342659"/>
        </patternFill>
      </fill>
      <border/>
    </dxf>
    <dxf>
      <font>
        <color indexed="17"/>
        <condense val="0"/>
        <extend val="0"/>
      </font>
      <border>
        <left style="thin"/>
        <right style="thin"/>
        <top style="thin"/>
        <bottom style="thin"/>
      </border>
    </dxf>
    <dxf>
      <font>
        <color indexed="10"/>
        <condense val="0"/>
        <extend val="0"/>
      </font>
      <border>
        <left style="thin"/>
        <right style="thin"/>
        <top style="thin"/>
        <bottom style="thin"/>
      </border>
    </dxf>
    <dxf>
      <fill>
        <patternFill>
          <bgColor rgb="FFFFFF9E"/>
        </patternFill>
      </fill>
      <border/>
    </dxf>
    <dxf>
      <fill>
        <patternFill patternType="none"/>
      </fill>
      <border/>
    </dxf>
    <dxf>
      <fill>
        <patternFill patternType="none"/>
      </fill>
      <border/>
    </dxf>
    <dxf>
      <font>
        <color indexed="9"/>
        <condense val="0"/>
        <extend val="0"/>
      </font>
      <fill>
        <patternFill patternType="none"/>
      </fill>
      <border>
        <left/>
        <right/>
        <top/>
        <bottom/>
      </border>
    </dxf>
    <dxf>
      <fill>
        <patternFill patternType="none"/>
      </fill>
      <border/>
    </dxf>
    <dxf>
      <font>
        <color indexed="9"/>
        <condense val="0"/>
        <extend val="0"/>
      </font>
      <fill>
        <patternFill patternType="none"/>
      </fill>
      <border>
        <left/>
        <right/>
        <top/>
        <bottom/>
      </border>
    </dxf>
    <dxf>
      <font>
        <color indexed="9"/>
        <condense val="0"/>
        <extend val="0"/>
      </font>
      <fill>
        <patternFill>
          <bgColor indexed="9"/>
        </patternFill>
      </fill>
      <border>
        <left/>
        <right/>
        <top/>
        <bottom/>
      </border>
    </dxf>
    <dxf>
      <fill>
        <patternFill patternType="none"/>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checked="Checked" fmlaLink="$X$3" noThreeD="1"/>
</file>

<file path=xl/ctrlProps/ctrlProp4.xml><?xml version="1.0" encoding="utf-8"?>
<formControlPr xmlns="http://schemas.microsoft.com/office/spreadsheetml/2009/9/main" objectType="CheckBox" checked="Checked" fmlaLink="$X$4" noThreeD="1"/>
</file>

<file path=xl/ctrlProps/ctrlProp5.xml><?xml version="1.0" encoding="utf-8"?>
<formControlPr xmlns="http://schemas.microsoft.com/office/spreadsheetml/2009/9/main" objectType="CheckBox" checked="Checked" fmlaLink="$X$5" noThreeD="1"/>
</file>

<file path=xl/ctrlProps/ctrlProp6.xml><?xml version="1.0" encoding="utf-8"?>
<formControlPr xmlns="http://schemas.microsoft.com/office/spreadsheetml/2009/9/main" objectType="CheckBox" checked="Checked" fmlaLink="$X$6" noThreeD="1"/>
</file>

<file path=xl/ctrlProps/ctrlProp7.xml><?xml version="1.0" encoding="utf-8"?>
<formControlPr xmlns="http://schemas.microsoft.com/office/spreadsheetml/2009/9/main" objectType="CheckBox" checked="Checked" fmlaLink="$X$7" noThreeD="1"/>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1.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21.emf" /></Relationships>
</file>

<file path=xl/drawings/_rels/drawing4.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2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9.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2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1.emf" /><Relationship Id="rId3" Type="http://schemas.openxmlformats.org/officeDocument/2006/relationships/image" Target="../media/image25.emf" /><Relationship Id="rId4" Type="http://schemas.openxmlformats.org/officeDocument/2006/relationships/image" Target="../media/image25.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21.emf" /><Relationship Id="rId4" Type="http://schemas.openxmlformats.org/officeDocument/2006/relationships/image" Target="../media/image23.emf" /><Relationship Id="rId5" Type="http://schemas.openxmlformats.org/officeDocument/2006/relationships/image" Target="../media/image24.emf" /><Relationship Id="rId6" Type="http://schemas.openxmlformats.org/officeDocument/2006/relationships/image" Target="../media/image23.emf" /><Relationship Id="rId7" Type="http://schemas.openxmlformats.org/officeDocument/2006/relationships/image" Target="../media/image24.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 Id="rId3" Type="http://schemas.openxmlformats.org/officeDocument/2006/relationships/image" Target="../media/image14.emf" /><Relationship Id="rId4" Type="http://schemas.openxmlformats.org/officeDocument/2006/relationships/image" Target="../media/image15.emf" /><Relationship Id="rId5" Type="http://schemas.openxmlformats.org/officeDocument/2006/relationships/image" Target="../media/image21.emf" /><Relationship Id="rId6" Type="http://schemas.openxmlformats.org/officeDocument/2006/relationships/image" Target="../media/image22.emf" /><Relationship Id="rId7" Type="http://schemas.openxmlformats.org/officeDocument/2006/relationships/image" Target="../media/image18.emf" /><Relationship Id="rId8" Type="http://schemas.openxmlformats.org/officeDocument/2006/relationships/image" Target="../media/image19.emf" /><Relationship Id="rId9" Type="http://schemas.openxmlformats.org/officeDocument/2006/relationships/image" Target="../media/image20.emf" /><Relationship Id="rId10" Type="http://schemas.openxmlformats.org/officeDocument/2006/relationships/image" Target="../media/image22.emf" /><Relationship Id="rId11" Type="http://schemas.openxmlformats.org/officeDocument/2006/relationships/image" Target="../media/image18.emf" /><Relationship Id="rId12" Type="http://schemas.openxmlformats.org/officeDocument/2006/relationships/image" Target="../media/image19.emf" /><Relationship Id="rId13" Type="http://schemas.openxmlformats.org/officeDocument/2006/relationships/image" Target="../media/image20.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3.emf" /><Relationship Id="rId3" Type="http://schemas.openxmlformats.org/officeDocument/2006/relationships/image" Target="../media/image14.emf" /><Relationship Id="rId4" Type="http://schemas.openxmlformats.org/officeDocument/2006/relationships/image" Target="../media/image15.emf" /><Relationship Id="rId5" Type="http://schemas.openxmlformats.org/officeDocument/2006/relationships/image" Target="../media/image21.emf" /><Relationship Id="rId6" Type="http://schemas.openxmlformats.org/officeDocument/2006/relationships/image" Target="../media/image2.emf" /><Relationship Id="rId7" Type="http://schemas.openxmlformats.org/officeDocument/2006/relationships/image" Target="../media/image18.emf" /><Relationship Id="rId8" Type="http://schemas.openxmlformats.org/officeDocument/2006/relationships/image" Target="../media/image19.emf" /><Relationship Id="rId9" Type="http://schemas.openxmlformats.org/officeDocument/2006/relationships/image" Target="../media/image20.emf" /><Relationship Id="rId10" Type="http://schemas.openxmlformats.org/officeDocument/2006/relationships/image" Target="../media/image2.emf" /><Relationship Id="rId11" Type="http://schemas.openxmlformats.org/officeDocument/2006/relationships/image" Target="../media/image18.emf" /><Relationship Id="rId12" Type="http://schemas.openxmlformats.org/officeDocument/2006/relationships/image" Target="../media/image19.emf" /><Relationship Id="rId13" Type="http://schemas.openxmlformats.org/officeDocument/2006/relationships/image" Target="../media/image20.emf" /><Relationship Id="rId14" Type="http://schemas.openxmlformats.org/officeDocument/2006/relationships/image" Target="../media/image19.emf" /><Relationship Id="rId15" Type="http://schemas.openxmlformats.org/officeDocument/2006/relationships/image" Target="../media/image20.emf" /><Relationship Id="rId16" Type="http://schemas.openxmlformats.org/officeDocument/2006/relationships/image" Target="../media/image19.emf" /><Relationship Id="rId17" Type="http://schemas.openxmlformats.org/officeDocument/2006/relationships/image" Target="../media/image20.emf" /><Relationship Id="rId18" Type="http://schemas.openxmlformats.org/officeDocument/2006/relationships/image" Target="../media/image19.emf" /><Relationship Id="rId19" Type="http://schemas.openxmlformats.org/officeDocument/2006/relationships/image" Target="../media/image20.emf" /><Relationship Id="rId20" Type="http://schemas.openxmlformats.org/officeDocument/2006/relationships/image" Target="../media/image19.emf" /><Relationship Id="rId21" Type="http://schemas.openxmlformats.org/officeDocument/2006/relationships/image" Target="../media/image20.emf" /><Relationship Id="rId22" Type="http://schemas.openxmlformats.org/officeDocument/2006/relationships/image" Target="../media/image19.emf" /><Relationship Id="rId23" Type="http://schemas.openxmlformats.org/officeDocument/2006/relationships/image" Target="../media/image2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495300</xdr:colOff>
      <xdr:row>12</xdr:row>
      <xdr:rowOff>85725</xdr:rowOff>
    </xdr:from>
    <xdr:ext cx="1714500" cy="457200"/>
    <xdr:sp macro="[0]!Importar" textlink="">
      <xdr:nvSpPr>
        <xdr:cNvPr id="2" name="ImportButton"/>
        <xdr:cNvSpPr>
          <a:spLocks noChangeArrowheads="1"/>
        </xdr:cNvSpPr>
      </xdr:nvSpPr>
      <xdr:spPr bwMode="auto">
        <a:xfrm>
          <a:off x="7467600" y="2181225"/>
          <a:ext cx="1714500" cy="457200"/>
        </a:xfrm>
        <a:prstGeom prst="rect">
          <a:avLst/>
        </a:prstGeom>
        <a:solidFill>
          <a:srgbClr val="D0CECE"/>
        </a:solidFill>
        <a:ln w="6350" algn="ctr">
          <a:solidFill>
            <a:srgbClr val="41719C"/>
          </a:solidFill>
          <a:miter lim="800000"/>
          <a:headEnd type="none"/>
          <a:tailEnd type="none"/>
        </a:ln>
        <a:effectLst>
          <a:outerShdw dist="63500" dir="2700000" algn="tl" rotWithShape="0">
            <a:prstClr val="black"/>
          </a:outerShdw>
        </a:effectLst>
      </xdr:spPr>
      <xdr:txBody>
        <a:bodyPr vertOverflow="clip" wrap="square" lIns="27432" tIns="27432" rIns="27432" bIns="27432" anchor="ctr" upright="1"/>
        <a:lstStyle/>
        <a:p>
          <a:pPr algn="ctr" rtl="0">
            <a:defRPr sz="1000"/>
          </a:pPr>
          <a:r>
            <a:rPr lang="pt-BR" sz="1050" b="0" i="0" u="none" strike="noStrike" baseline="0">
              <a:solidFill>
                <a:srgbClr val="000000"/>
              </a:solidFill>
              <a:latin typeface="Calibri"/>
            </a:rPr>
            <a:t>Importar PO</a:t>
          </a:r>
        </a:p>
        <a:p>
          <a:pPr algn="ctr" rtl="0">
            <a:defRPr sz="1000"/>
          </a:pPr>
          <a:r>
            <a:rPr lang="pt-BR" sz="1050" b="0" i="0" u="none" strike="noStrike" baseline="0">
              <a:solidFill>
                <a:srgbClr val="000000"/>
              </a:solidFill>
              <a:latin typeface="Calibri"/>
            </a:rPr>
            <a:t>(MO27476)</a:t>
          </a:r>
        </a:p>
      </xdr:txBody>
    </xdr:sp>
    <xdr:clientData fPrintsWithSheet="0"/>
  </xdr:oneCellAnchor>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381000</xdr:colOff>
          <xdr:row>18</xdr:row>
          <xdr:rowOff>83820</xdr:rowOff>
        </xdr:from>
        <xdr:to>
          <xdr:col>5</xdr:col>
          <xdr:colOff>228600</xdr:colOff>
          <xdr:row>20</xdr:row>
          <xdr:rowOff>45720</xdr:rowOff>
        </xdr:to>
        <xdr:sp macro="" textlink="">
          <xdr:nvSpPr>
            <xdr:cNvPr id="34202" name="OptionPLQ-ON" descr="Parcela 1" hidden="1">
              <a:extLst xmlns:a="http://schemas.openxmlformats.org/drawingml/2006/main">
                <a:ext uri="{63B3BB69-23CF-44E3-9099-C40C66FF867C}">
                  <a14:compatExt spid="_x0000_s34202"/>
                </a:ext>
                <a:ext uri="{FF2B5EF4-FFF2-40B4-BE49-F238E27FC236}">
                  <a16:creationId xmlns:a16="http://schemas.microsoft.com/office/drawing/2014/main" id="{00000000-0008-0000-0000-00009A8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pt-BR" sz="800" b="0" i="0" u="none" strike="noStrike" baseline="0">
                  <a:solidFill>
                    <a:srgbClr val="000000"/>
                  </a:solidFill>
                  <a:latin typeface="Segoe UI"/>
                  <a:cs typeface="Segoe UI"/>
                </a:rPr>
                <a:t>MÚLTIPLAS FRENTES (PREENCHIMENTO NA PLQ)</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5</xdr:col>
          <xdr:colOff>228600</xdr:colOff>
          <xdr:row>18</xdr:row>
          <xdr:rowOff>83820</xdr:rowOff>
        </xdr:from>
        <xdr:to>
          <xdr:col>11</xdr:col>
          <xdr:colOff>144780</xdr:colOff>
          <xdr:row>20</xdr:row>
          <xdr:rowOff>45720</xdr:rowOff>
        </xdr:to>
        <xdr:sp macro="" textlink="">
          <xdr:nvSpPr>
            <xdr:cNvPr id="34203" name="OptionPLQ-OFF" descr="Parcela 1" hidden="1">
              <a:extLst xmlns:a="http://schemas.openxmlformats.org/drawingml/2006/main">
                <a:ext uri="{63B3BB69-23CF-44E3-9099-C40C66FF867C}">
                  <a14:compatExt spid="_x0000_s34203"/>
                </a:ext>
                <a:ext uri="{FF2B5EF4-FFF2-40B4-BE49-F238E27FC236}">
                  <a16:creationId xmlns:a16="http://schemas.microsoft.com/office/drawing/2014/main" id="{00000000-0008-0000-0000-00009B8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pt-BR" sz="800" b="0" i="0" u="none" strike="noStrike" baseline="0">
                  <a:solidFill>
                    <a:srgbClr val="000000"/>
                  </a:solidFill>
                  <a:latin typeface="Segoe UI"/>
                  <a:cs typeface="Segoe UI"/>
                </a:rPr>
                <a:t>FRENTE ÚNICA (PREENCHIMENTO DIRETAMENTE NA PO)</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19</xdr:col>
      <xdr:colOff>95250</xdr:colOff>
      <xdr:row>5</xdr:row>
      <xdr:rowOff>47625</xdr:rowOff>
    </xdr:from>
    <xdr:to>
      <xdr:col>19</xdr:col>
      <xdr:colOff>1152525</xdr:colOff>
      <xdr:row>7</xdr:row>
      <xdr:rowOff>142875</xdr:rowOff>
    </xdr:to>
    <xdr:sp macro="[0]!BDI_add" textlink="">
      <xdr:nvSpPr>
        <xdr:cNvPr id="2" name="FiltroButton"/>
        <xdr:cNvSpPr txBox="1">
          <a:spLocks noChangeArrowheads="1"/>
        </xdr:cNvSpPr>
      </xdr:nvSpPr>
      <xdr:spPr bwMode="auto">
        <a:xfrm>
          <a:off x="7629525" y="885825"/>
          <a:ext cx="1057275" cy="342900"/>
        </a:xfrm>
        <a:prstGeom prst="rect">
          <a:avLst/>
        </a:prstGeom>
        <a:solidFill>
          <a:srgbClr val="E3E3E3"/>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a:effectLst>
          <a:outerShdw dist="53882" dir="2700000" algn="ctr" rotWithShape="0">
            <a:srgbClr val="000080"/>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Adicionar BDI</a:t>
          </a:r>
        </a:p>
      </xdr:txBody>
    </xdr:sp>
    <xdr:clientData fPrintsWithSheet="0"/>
  </xdr:twoCellAnchor>
  <xdr:oneCellAnchor>
    <xdr:from>
      <xdr:col>8</xdr:col>
      <xdr:colOff>28575</xdr:colOff>
      <xdr:row>0</xdr:row>
      <xdr:rowOff>19050</xdr:rowOff>
    </xdr:from>
    <xdr:ext cx="1790700" cy="381000"/>
    <xdr:sp macro="" textlink="">
      <xdr:nvSpPr>
        <xdr:cNvPr id="156124" name="Object 476" hidden="1"/>
        <xdr:cNvSpPr/>
      </xdr:nvSpPr>
      <xdr:spPr>
        <a:xfrm>
          <a:off x="28575" y="19050"/>
          <a:ext cx="1790700" cy="381000"/>
        </a:xfrm>
        <a:prstGeom prst="rect">
          <a:avLst/>
        </a:prstGeom>
        <a:ln>
          <a:noFill/>
        </a:ln>
      </xdr:spPr>
    </xdr:sp>
    <xdr:clientData/>
  </xdr:oneCellAnchor>
  <xdr:twoCellAnchor editAs="oneCell">
    <xdr:from>
      <xdr:col>8</xdr:col>
      <xdr:colOff>28575</xdr:colOff>
      <xdr:row>0</xdr:row>
      <xdr:rowOff>19050</xdr:rowOff>
    </xdr:from>
    <xdr:to>
      <xdr:col>10</xdr:col>
      <xdr:colOff>390525</xdr:colOff>
      <xdr:row>2</xdr:row>
      <xdr:rowOff>47625</xdr:rowOff>
    </xdr:to>
    <xdr:pic>
      <xdr:nvPicPr>
        <xdr:cNvPr id="3" name="Picture 476"/>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28575" y="19050"/>
          <a:ext cx="1790700" cy="381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57150</xdr:colOff>
      <xdr:row>0</xdr:row>
      <xdr:rowOff>19050</xdr:rowOff>
    </xdr:from>
    <xdr:ext cx="1800225" cy="381000"/>
    <xdr:sp macro="" textlink="">
      <xdr:nvSpPr>
        <xdr:cNvPr id="185899" name="Object 5675" hidden="1"/>
        <xdr:cNvSpPr/>
      </xdr:nvSpPr>
      <xdr:spPr>
        <a:xfrm>
          <a:off x="638175" y="19050"/>
          <a:ext cx="1800225" cy="381000"/>
        </a:xfrm>
        <a:prstGeom prst="rect">
          <a:avLst/>
        </a:prstGeom>
        <a:ln>
          <a:noFill/>
        </a:ln>
      </xdr:spPr>
    </xdr:sp>
    <xdr:clientData/>
  </xdr:oneCellAnchor>
  <xdr:twoCellAnchor>
    <xdr:from>
      <xdr:col>13</xdr:col>
      <xdr:colOff>142875</xdr:colOff>
      <xdr:row>7</xdr:row>
      <xdr:rowOff>161925</xdr:rowOff>
    </xdr:from>
    <xdr:to>
      <xdr:col>13</xdr:col>
      <xdr:colOff>1619250</xdr:colOff>
      <xdr:row>7</xdr:row>
      <xdr:rowOff>342900</xdr:rowOff>
    </xdr:to>
    <xdr:sp macro="[0]!EditarPlan" textlink="">
      <xdr:nvSpPr>
        <xdr:cNvPr id="5" name="EditarButton"/>
        <xdr:cNvSpPr txBox="1">
          <a:spLocks noChangeArrowheads="1"/>
        </xdr:cNvSpPr>
      </xdr:nvSpPr>
      <xdr:spPr bwMode="auto">
        <a:xfrm>
          <a:off x="3667125" y="1905000"/>
          <a:ext cx="1476375" cy="180975"/>
        </a:xfrm>
        <a:prstGeom prst="rect">
          <a:avLst/>
        </a:prstGeom>
        <a:solidFill>
          <a:srgbClr val="99FF99"/>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a:effectLst>
          <a:outerShdw dist="53882" dir="2700000" algn="ctr" rotWithShape="0">
            <a:srgbClr val="000080"/>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EDITAR PLANILHA</a:t>
          </a:r>
        </a:p>
      </xdr:txBody>
    </xdr:sp>
    <xdr:clientData fPrintsWithSheet="0"/>
  </xdr:twoCellAnchor>
  <xdr:twoCellAnchor>
    <xdr:from>
      <xdr:col>13</xdr:col>
      <xdr:colOff>3762375</xdr:colOff>
      <xdr:row>7</xdr:row>
      <xdr:rowOff>161925</xdr:rowOff>
    </xdr:from>
    <xdr:to>
      <xdr:col>13</xdr:col>
      <xdr:colOff>5076825</xdr:colOff>
      <xdr:row>9</xdr:row>
      <xdr:rowOff>152400</xdr:rowOff>
    </xdr:to>
    <xdr:sp macro="[0]!licitacaouserform" textlink="">
      <xdr:nvSpPr>
        <xdr:cNvPr id="6" name="LicitButton"/>
        <xdr:cNvSpPr txBox="1">
          <a:spLocks noChangeArrowheads="1"/>
        </xdr:cNvSpPr>
      </xdr:nvSpPr>
      <xdr:spPr bwMode="auto">
        <a:xfrm>
          <a:off x="7286625" y="1905000"/>
          <a:ext cx="1314450" cy="371475"/>
        </a:xfrm>
        <a:prstGeom prst="rect">
          <a:avLst/>
        </a:prstGeom>
        <a:solidFill>
          <a:srgbClr val="33CCCC"/>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a:effectLst>
          <a:outerShdw dist="53882" dir="2700000" algn="ctr" rotWithShape="0">
            <a:srgbClr val="000080"/>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LICITAR / REPROGRAMAR</a:t>
          </a:r>
        </a:p>
      </xdr:txBody>
    </xdr:sp>
    <xdr:clientData fPrintsWithSheet="0"/>
  </xdr:twoCellAnchor>
  <xdr:twoCellAnchor>
    <xdr:from>
      <xdr:col>13</xdr:col>
      <xdr:colOff>1971675</xdr:colOff>
      <xdr:row>7</xdr:row>
      <xdr:rowOff>161925</xdr:rowOff>
    </xdr:from>
    <xdr:to>
      <xdr:col>13</xdr:col>
      <xdr:colOff>3448050</xdr:colOff>
      <xdr:row>7</xdr:row>
      <xdr:rowOff>342900</xdr:rowOff>
    </xdr:to>
    <xdr:sp macro="[0]!fixarReferencias" textlink="">
      <xdr:nvSpPr>
        <xdr:cNvPr id="7" name="FixarButton"/>
        <xdr:cNvSpPr txBox="1">
          <a:spLocks noChangeArrowheads="1"/>
        </xdr:cNvSpPr>
      </xdr:nvSpPr>
      <xdr:spPr bwMode="auto">
        <a:xfrm>
          <a:off x="5495925" y="1905000"/>
          <a:ext cx="1476375" cy="180975"/>
        </a:xfrm>
        <a:prstGeom prst="rect">
          <a:avLst/>
        </a:prstGeom>
        <a:solidFill>
          <a:srgbClr val="99FF99"/>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a:effectLst>
          <a:outerShdw dist="53882" dir="2700000" algn="ctr" rotWithShape="0">
            <a:srgbClr val="000080"/>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FIXAR DESCRICOES</a:t>
          </a:r>
        </a:p>
      </xdr:txBody>
    </xdr:sp>
    <xdr:clientData fPrintsWithSheet="0"/>
  </xdr:twoCellAnchor>
  <xdr:twoCellAnchor>
    <xdr:from>
      <xdr:col>11</xdr:col>
      <xdr:colOff>381000</xdr:colOff>
      <xdr:row>7</xdr:row>
      <xdr:rowOff>161925</xdr:rowOff>
    </xdr:from>
    <xdr:to>
      <xdr:col>12</xdr:col>
      <xdr:colOff>809625</xdr:colOff>
      <xdr:row>7</xdr:row>
      <xdr:rowOff>342900</xdr:rowOff>
    </xdr:to>
    <xdr:sp macro="[0]!buscaCodigo" textlink="">
      <xdr:nvSpPr>
        <xdr:cNvPr id="8" name="BuscarButton"/>
        <xdr:cNvSpPr txBox="1">
          <a:spLocks noChangeArrowheads="1"/>
        </xdr:cNvSpPr>
      </xdr:nvSpPr>
      <xdr:spPr bwMode="auto">
        <a:xfrm>
          <a:off x="1809750" y="1905000"/>
          <a:ext cx="1476375" cy="180975"/>
        </a:xfrm>
        <a:prstGeom prst="rect">
          <a:avLst/>
        </a:prstGeom>
        <a:solidFill>
          <a:srgbClr val="99FF99"/>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a:effectLst>
          <a:outerShdw dist="53882" dir="2700000" algn="ctr" rotWithShape="0">
            <a:srgbClr val="000080"/>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BUSCAR CÓDIGO</a:t>
          </a:r>
        </a:p>
      </xdr:txBody>
    </xdr:sp>
    <xdr:clientData fPrintsWithSheet="0"/>
  </xdr:twoCellAnchor>
  <xdr:oneCellAnchor>
    <xdr:from>
      <xdr:col>14</xdr:col>
      <xdr:colOff>714375</xdr:colOff>
      <xdr:row>6</xdr:row>
      <xdr:rowOff>285750</xdr:rowOff>
    </xdr:from>
    <xdr:ext cx="4905375" cy="361950"/>
    <xdr:sp macro="" textlink="">
      <xdr:nvSpPr>
        <xdr:cNvPr id="9" name="TextBoxArred"/>
        <xdr:cNvSpPr txBox="1">
          <a:spLocks noChangeArrowheads="1"/>
        </xdr:cNvSpPr>
      </xdr:nvSpPr>
      <xdr:spPr bwMode="auto">
        <a:xfrm flipH="1">
          <a:off x="9620250" y="1714500"/>
          <a:ext cx="4905375" cy="361950"/>
        </a:xfrm>
        <a:prstGeom prst="rect">
          <a:avLst/>
        </a:prstGeom>
        <a:noFill/>
        <a:ln w="6350">
          <a:solidFill>
            <a:srgbClr val="000000"/>
          </a:solidFill>
          <a:miter lim="800000"/>
          <a:headEnd type="none"/>
          <a:tailEnd type="none"/>
        </a:ln>
        <a:extLst>
          <a:ext uri="{909E8E84-426E-40DD-AFC4-6F175D3DCCD1}">
            <a14:hiddenFill xmlns:a14="http://schemas.microsoft.com/office/drawing/2010/main">
              <a:solidFill>
                <a:srgbClr val="FFFFFF"/>
              </a:solidFill>
            </a14:hiddenFill>
          </a:ext>
        </a:extLst>
      </xdr:spPr>
      <xdr:txBody>
        <a:bodyPr vertOverflow="clip" wrap="square" lIns="27432" tIns="22860" rIns="27432" bIns="0" anchor="t" upright="1"/>
        <a:lstStyle/>
        <a:p>
          <a:pPr algn="ctr" rtl="0">
            <a:defRPr sz="1000"/>
          </a:pPr>
          <a:r>
            <a:rPr lang="pt-BR" sz="1000" b="0" i="0" u="none" strike="noStrike" baseline="0">
              <a:solidFill>
                <a:srgbClr val="000000"/>
              </a:solidFill>
              <a:latin typeface="Arial"/>
              <a:cs typeface="Arial"/>
            </a:rPr>
            <a:t>Considerar valores arredondados com (0,00)</a:t>
          </a:r>
        </a:p>
      </xdr:txBody>
    </xdr:sp>
    <xdr:clientData fPrintsWithSheet="0"/>
  </xdr:oneCellAnchor>
  <xdr:twoCellAnchor editAs="oneCell">
    <xdr:from>
      <xdr:col>10</xdr:col>
      <xdr:colOff>57150</xdr:colOff>
      <xdr:row>0</xdr:row>
      <xdr:rowOff>19050</xdr:rowOff>
    </xdr:from>
    <xdr:to>
      <xdr:col>11</xdr:col>
      <xdr:colOff>1009650</xdr:colOff>
      <xdr:row>2</xdr:row>
      <xdr:rowOff>76200</xdr:rowOff>
    </xdr:to>
    <xdr:pic>
      <xdr:nvPicPr>
        <xdr:cNvPr id="2" name="Picture 5675"/>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638175" y="19050"/>
          <a:ext cx="1800225" cy="381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28575</xdr:rowOff>
    </xdr:from>
    <xdr:ext cx="1790700" cy="390525"/>
    <xdr:sp macro="" textlink="">
      <xdr:nvSpPr>
        <xdr:cNvPr id="193696" name="Object 13472" hidden="1"/>
        <xdr:cNvSpPr/>
      </xdr:nvSpPr>
      <xdr:spPr>
        <a:xfrm>
          <a:off x="876300" y="28575"/>
          <a:ext cx="1790700" cy="390525"/>
        </a:xfrm>
        <a:prstGeom prst="rect">
          <a:avLst/>
        </a:prstGeom>
        <a:ln>
          <a:noFill/>
        </a:ln>
      </xdr:spPr>
    </xdr:sp>
    <xdr:clientData/>
  </xdr:oneCellAnchor>
  <xdr:twoCellAnchor>
    <xdr:from>
      <xdr:col>3</xdr:col>
      <xdr:colOff>28575</xdr:colOff>
      <xdr:row>8</xdr:row>
      <xdr:rowOff>123825</xdr:rowOff>
    </xdr:from>
    <xdr:to>
      <xdr:col>4</xdr:col>
      <xdr:colOff>800100</xdr:colOff>
      <xdr:row>8</xdr:row>
      <xdr:rowOff>638175</xdr:rowOff>
    </xdr:to>
    <xdr:sp macro="" textlink="">
      <xdr:nvSpPr>
        <xdr:cNvPr id="5" name="AutoShape 68" descr="Frente de Obra:"/>
        <xdr:cNvSpPr>
          <a:spLocks noChangeArrowheads="1"/>
        </xdr:cNvSpPr>
      </xdr:nvSpPr>
      <xdr:spPr bwMode="auto">
        <a:xfrm>
          <a:off x="5629275" y="2095500"/>
          <a:ext cx="1285875" cy="514350"/>
        </a:xfrm>
        <a:prstGeom prst="rightArrow">
          <a:avLst>
            <a:gd name="adj1" fmla="val 50000"/>
            <a:gd name="adj2" fmla="val 57203"/>
          </a:avLst>
        </a:prstGeom>
        <a:solidFill>
          <a:srgbClr val="CCFFCC"/>
        </a:solidFill>
        <a:ln w="9525" algn="ctr">
          <a:solidFill>
            <a:srgbClr xmlns:a14="http://schemas.microsoft.com/office/drawing/2010/main" xmlns:mc="http://schemas.openxmlformats.org/markup-compatibility/2006" val="000000" mc:Ignorable="a14" a14:legacySpreadsheetColorIndex="64"/>
          </a:solidFill>
          <a:miter lim="800000"/>
          <a:headEnd type="none"/>
          <a:tailEnd type="none"/>
        </a:ln>
        <a:effectLst>
          <a:outerShdw dist="53882" dir="2700000" algn="ctr" rotWithShape="0">
            <a:srgbClr val="000080"/>
          </a:outerShdw>
        </a:effectLst>
      </xdr:spPr>
      <xdr:txBody>
        <a:bodyPr vertOverflow="clip" wrap="square" lIns="27432" tIns="22860" rIns="27432" bIns="22860" anchor="t" upright="1"/>
        <a:lstStyle/>
        <a:p>
          <a:pPr algn="l" rtl="0">
            <a:defRPr sz="1000"/>
          </a:pPr>
          <a:r>
            <a:rPr lang="pt-BR" sz="1000" b="1" i="0" u="none" strike="noStrike" baseline="0">
              <a:solidFill>
                <a:srgbClr val="000000"/>
              </a:solidFill>
              <a:latin typeface="Arial"/>
              <a:cs typeface="Arial"/>
            </a:rPr>
            <a:t>Frente de Obra:</a:t>
          </a:r>
        </a:p>
      </xdr:txBody>
    </xdr:sp>
    <xdr:clientData/>
  </xdr:twoCellAnchor>
  <xdr:oneCellAnchor>
    <xdr:from>
      <xdr:col>2</xdr:col>
      <xdr:colOff>676275</xdr:colOff>
      <xdr:row>8</xdr:row>
      <xdr:rowOff>104775</xdr:rowOff>
    </xdr:from>
    <xdr:ext cx="1028700" cy="381000"/>
    <xdr:sp macro="[0]!IncluirPLQ" textlink="">
      <xdr:nvSpPr>
        <xdr:cNvPr id="6" name="AddPLQ"/>
        <xdr:cNvSpPr txBox="1">
          <a:spLocks noChangeArrowheads="1"/>
        </xdr:cNvSpPr>
      </xdr:nvSpPr>
      <xdr:spPr bwMode="auto">
        <a:xfrm>
          <a:off x="2238375" y="2076450"/>
          <a:ext cx="1028700" cy="381000"/>
        </a:xfrm>
        <a:prstGeom prst="rect">
          <a:avLst/>
        </a:prstGeom>
        <a:solidFill>
          <a:srgbClr val="99FF99"/>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a:effectLst>
          <a:outerShdw dist="53882" dir="2700000" algn="ctr" rotWithShape="0">
            <a:srgbClr val="000080"/>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ADICIONAR 10 FRENTES</a:t>
          </a:r>
        </a:p>
      </xdr:txBody>
    </xdr:sp>
    <xdr:clientData fPrintsWithSheet="0"/>
  </xdr:oneCellAnchor>
  <xdr:oneCellAnchor>
    <xdr:from>
      <xdr:col>2</xdr:col>
      <xdr:colOff>1971675</xdr:colOff>
      <xdr:row>8</xdr:row>
      <xdr:rowOff>104775</xdr:rowOff>
    </xdr:from>
    <xdr:ext cx="1028700" cy="381000"/>
    <xdr:sp macro="[0]!ExcluirPLQ" textlink="">
      <xdr:nvSpPr>
        <xdr:cNvPr id="7" name="RemovePLQ"/>
        <xdr:cNvSpPr txBox="1">
          <a:spLocks noChangeArrowheads="1"/>
        </xdr:cNvSpPr>
      </xdr:nvSpPr>
      <xdr:spPr bwMode="auto">
        <a:xfrm>
          <a:off x="3533775" y="2076450"/>
          <a:ext cx="1028700" cy="381000"/>
        </a:xfrm>
        <a:prstGeom prst="rect">
          <a:avLst/>
        </a:prstGeom>
        <a:solidFill>
          <a:srgbClr val="993366"/>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a:effectLst>
          <a:outerShdw dist="53882" dir="2700000" algn="ctr" rotWithShape="0">
            <a:srgbClr val="000080"/>
          </a:outerShdw>
        </a:effectLst>
      </xdr:spPr>
      <xdr:txBody>
        <a:bodyPr vertOverflow="clip" wrap="square" lIns="27432" tIns="22860" rIns="27432" bIns="22860" anchor="ctr" upright="1"/>
        <a:lstStyle/>
        <a:p>
          <a:pPr algn="ctr" rtl="0">
            <a:defRPr sz="1000"/>
          </a:pPr>
          <a:r>
            <a:rPr lang="pt-BR" sz="900" b="1" i="0" u="none" strike="noStrike" baseline="0">
              <a:solidFill>
                <a:srgbClr val="FFFFFF"/>
              </a:solidFill>
              <a:latin typeface="Arial"/>
              <a:cs typeface="Arial"/>
            </a:rPr>
            <a:t>EXCLUIR 10 FRENTES</a:t>
          </a:r>
        </a:p>
      </xdr:txBody>
    </xdr:sp>
    <xdr:clientData fPrintsWithSheet="0"/>
  </xdr:oneCellAnchor>
  <xdr:twoCellAnchor editAs="oneCell">
    <xdr:from>
      <xdr:col>1</xdr:col>
      <xdr:colOff>28575</xdr:colOff>
      <xdr:row>0</xdr:row>
      <xdr:rowOff>28575</xdr:rowOff>
    </xdr:from>
    <xdr:to>
      <xdr:col>2</xdr:col>
      <xdr:colOff>1104900</xdr:colOff>
      <xdr:row>1</xdr:row>
      <xdr:rowOff>190500</xdr:rowOff>
    </xdr:to>
    <xdr:pic>
      <xdr:nvPicPr>
        <xdr:cNvPr id="2" name="Picture 13472"/>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876300" y="28575"/>
          <a:ext cx="1790700" cy="381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xdr:colOff>
      <xdr:row>0</xdr:row>
      <xdr:rowOff>38100</xdr:rowOff>
    </xdr:from>
    <xdr:ext cx="1790700" cy="381000"/>
    <xdr:sp macro="" textlink="">
      <xdr:nvSpPr>
        <xdr:cNvPr id="193474" name="Object 125890" hidden="1"/>
        <xdr:cNvSpPr/>
      </xdr:nvSpPr>
      <xdr:spPr>
        <a:xfrm>
          <a:off x="57150" y="38100"/>
          <a:ext cx="1790700" cy="381000"/>
        </a:xfrm>
        <a:prstGeom prst="rect">
          <a:avLst/>
        </a:prstGeom>
        <a:ln>
          <a:noFill/>
        </a:ln>
      </xdr:spPr>
    </xdr:sp>
    <xdr:clientData/>
  </xdr:oneCellAnchor>
  <xdr:oneCellAnchor>
    <xdr:from>
      <xdr:col>11</xdr:col>
      <xdr:colOff>628650</xdr:colOff>
      <xdr:row>7</xdr:row>
      <xdr:rowOff>209550</xdr:rowOff>
    </xdr:from>
    <xdr:ext cx="1781175" cy="342900"/>
    <xdr:sp macro="[0]!EditarCRONO" textlink="">
      <xdr:nvSpPr>
        <xdr:cNvPr id="7" name="AddCFF"/>
        <xdr:cNvSpPr txBox="1">
          <a:spLocks noChangeArrowheads="1"/>
        </xdr:cNvSpPr>
      </xdr:nvSpPr>
      <xdr:spPr bwMode="auto">
        <a:xfrm>
          <a:off x="628650" y="1914525"/>
          <a:ext cx="1781175" cy="342900"/>
        </a:xfrm>
        <a:prstGeom prst="rect">
          <a:avLst/>
        </a:prstGeom>
        <a:solidFill>
          <a:srgbClr val="99FF99"/>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a:effectLst>
          <a:outerShdw dist="53882" dir="2700000" algn="ctr" rotWithShape="0">
            <a:srgbClr val="000080"/>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EDITAR / ATUALIZAR CRONOGRAMA</a:t>
          </a:r>
        </a:p>
      </xdr:txBody>
    </xdr:sp>
    <xdr:clientData fPrintsWithSheet="0"/>
  </xdr:oneCellAnchor>
  <xdr:twoCellAnchor editAs="oneCell">
    <xdr:from>
      <xdr:col>11</xdr:col>
      <xdr:colOff>57150</xdr:colOff>
      <xdr:row>0</xdr:row>
      <xdr:rowOff>38100</xdr:rowOff>
    </xdr:from>
    <xdr:to>
      <xdr:col>12</xdr:col>
      <xdr:colOff>1133475</xdr:colOff>
      <xdr:row>2</xdr:row>
      <xdr:rowOff>95250</xdr:rowOff>
    </xdr:to>
    <xdr:pic>
      <xdr:nvPicPr>
        <xdr:cNvPr id="2" name="Picture 125890"/>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57150" y="38100"/>
          <a:ext cx="1790700" cy="381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8" Type="http://schemas.openxmlformats.org/officeDocument/2006/relationships/ctrlProp" Target="../ctrlProps/ctrlProp7.xml" /><Relationship Id="rId5" Type="http://schemas.openxmlformats.org/officeDocument/2006/relationships/ctrlProp" Target="../ctrlProps/ctrlProp4.xml" /><Relationship Id="rId4" Type="http://schemas.openxmlformats.org/officeDocument/2006/relationships/ctrlProp" Target="../ctrlProps/ctrlProp3.xml" /><Relationship Id="rId7" Type="http://schemas.openxmlformats.org/officeDocument/2006/relationships/ctrlProp" Target="../ctrlProps/ctrlProp6.xml" /><Relationship Id="rId6" Type="http://schemas.openxmlformats.org/officeDocument/2006/relationships/ctrlProp" Target="../ctrlProps/ctrlProp5.xml" /><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3">
    <tabColor rgb="FFFFC000"/>
    <pageSetUpPr fitToPage="1"/>
  </sheetPr>
  <dimension ref="A1:Y240"/>
  <sheetViews>
    <sheetView showGridLines="0" zoomScaleSheetLayoutView="100" workbookViewId="0" topLeftCell="A22">
      <selection activeCell="Q32" sqref="Q31:X32"/>
    </sheetView>
  </sheetViews>
  <sheetFormatPr defaultColWidth="9.140625" defaultRowHeight="12.75"/>
  <cols>
    <col min="1" max="2" width="8.7109375" style="8" customWidth="1"/>
    <col min="3" max="5" width="8.7109375" style="1" customWidth="1"/>
    <col min="6" max="8" width="8.7109375" style="7" customWidth="1"/>
    <col min="9" max="24" width="8.7109375" style="1" customWidth="1"/>
    <col min="25" max="16384" width="9.140625" style="1" customWidth="1"/>
  </cols>
  <sheetData>
    <row r="1" spans="1:24" ht="12.75" customHeight="1">
      <c r="A1" s="103">
        <v>27476</v>
      </c>
      <c r="B1" s="289" t="s">
        <v>2</v>
      </c>
      <c r="C1" s="289"/>
      <c r="D1" s="289"/>
      <c r="E1" s="289"/>
      <c r="F1" s="289"/>
      <c r="G1" s="289"/>
      <c r="H1" s="289"/>
      <c r="I1" s="289"/>
      <c r="J1" s="289"/>
      <c r="K1" s="289"/>
      <c r="L1" s="289"/>
      <c r="M1" s="289"/>
      <c r="N1" s="289"/>
      <c r="O1" s="289"/>
      <c r="P1" s="289"/>
      <c r="Q1" s="289"/>
      <c r="R1" s="289"/>
      <c r="S1" s="289"/>
      <c r="T1" s="289"/>
      <c r="U1" s="289"/>
      <c r="V1" s="289"/>
      <c r="W1" s="289"/>
      <c r="X1" s="290"/>
    </row>
    <row r="2" spans="1:24" ht="13.5" customHeight="1">
      <c r="A2" s="105" t="s">
        <v>227</v>
      </c>
      <c r="B2" s="291"/>
      <c r="C2" s="291"/>
      <c r="D2" s="291"/>
      <c r="E2" s="291"/>
      <c r="F2" s="291"/>
      <c r="G2" s="291"/>
      <c r="H2" s="291"/>
      <c r="I2" s="291"/>
      <c r="J2" s="291"/>
      <c r="K2" s="291"/>
      <c r="L2" s="291"/>
      <c r="M2" s="291"/>
      <c r="N2" s="291"/>
      <c r="O2" s="291"/>
      <c r="P2" s="291"/>
      <c r="Q2" s="291"/>
      <c r="R2" s="291"/>
      <c r="S2" s="291"/>
      <c r="T2" s="291"/>
      <c r="U2" s="291"/>
      <c r="V2" s="291"/>
      <c r="W2" s="291"/>
      <c r="X2" s="292"/>
    </row>
    <row r="3" spans="1:8" ht="13.5" customHeight="1">
      <c r="A3" s="1"/>
      <c r="B3" s="1"/>
      <c r="F3" s="1"/>
      <c r="G3" s="1"/>
      <c r="H3" s="1"/>
    </row>
    <row r="4" spans="1:24" s="21" customFormat="1" ht="12.75" customHeight="1">
      <c r="A4" s="302" t="s">
        <v>167</v>
      </c>
      <c r="B4" s="302"/>
      <c r="C4" s="302"/>
      <c r="D4" s="302"/>
      <c r="E4" s="302"/>
      <c r="F4" s="302"/>
      <c r="G4" s="302"/>
      <c r="H4" s="302"/>
      <c r="I4" s="302"/>
      <c r="J4" s="302"/>
      <c r="K4" s="302"/>
      <c r="L4" s="302"/>
      <c r="M4" s="302"/>
      <c r="N4" s="302"/>
      <c r="O4" s="302"/>
      <c r="P4" s="302"/>
      <c r="Q4" s="302"/>
      <c r="R4" s="302"/>
      <c r="S4" s="302"/>
      <c r="T4" s="302"/>
      <c r="U4" s="302"/>
      <c r="V4" s="302"/>
      <c r="W4" s="302"/>
      <c r="X4" s="302"/>
    </row>
    <row r="5" spans="1:8" s="21" customFormat="1" ht="12.75">
      <c r="A5" s="22"/>
      <c r="B5" s="22"/>
      <c r="F5" s="23"/>
      <c r="G5" s="23"/>
      <c r="H5" s="23"/>
    </row>
    <row r="6" spans="1:24" s="22" customFormat="1" ht="24.9" customHeight="1">
      <c r="A6" s="303" t="s">
        <v>178</v>
      </c>
      <c r="B6" s="304"/>
      <c r="C6" s="304"/>
      <c r="D6" s="304"/>
      <c r="E6" s="304"/>
      <c r="F6" s="304"/>
      <c r="G6" s="304"/>
      <c r="H6" s="304"/>
      <c r="I6" s="304"/>
      <c r="J6" s="304"/>
      <c r="K6" s="304"/>
      <c r="L6" s="304"/>
      <c r="M6" s="304"/>
      <c r="N6" s="304"/>
      <c r="O6" s="304"/>
      <c r="P6" s="304"/>
      <c r="Q6" s="304"/>
      <c r="R6" s="304"/>
      <c r="S6" s="304"/>
      <c r="T6" s="304"/>
      <c r="U6" s="304"/>
      <c r="V6" s="304"/>
      <c r="W6" s="304"/>
      <c r="X6" s="304"/>
    </row>
    <row r="7" spans="1:8" s="21" customFormat="1" ht="12.75" customHeight="1">
      <c r="A7" s="22"/>
      <c r="B7" s="22"/>
      <c r="F7" s="23"/>
      <c r="G7" s="23"/>
      <c r="H7" s="23"/>
    </row>
    <row r="8" spans="1:25" s="21" customFormat="1" ht="12.75" customHeight="1">
      <c r="A8" s="305" t="s">
        <v>23</v>
      </c>
      <c r="B8" s="305"/>
      <c r="C8" s="305"/>
      <c r="D8" s="305"/>
      <c r="E8" s="305"/>
      <c r="F8" s="305"/>
      <c r="G8" s="305"/>
      <c r="H8" s="305"/>
      <c r="I8" s="305"/>
      <c r="J8" s="305"/>
      <c r="K8" s="305"/>
      <c r="L8" s="305"/>
      <c r="M8" s="305"/>
      <c r="N8" s="305"/>
      <c r="O8" s="305"/>
      <c r="P8" s="305"/>
      <c r="Q8" s="305"/>
      <c r="R8" s="305"/>
      <c r="S8" s="305"/>
      <c r="T8" s="305"/>
      <c r="U8" s="305"/>
      <c r="V8" s="305"/>
      <c r="W8" s="305"/>
      <c r="X8" s="305"/>
      <c r="Y8" s="24"/>
    </row>
    <row r="9" spans="1:25" s="21" customFormat="1" ht="6" customHeight="1">
      <c r="A9" s="48"/>
      <c r="B9" s="48"/>
      <c r="C9" s="48"/>
      <c r="D9" s="48"/>
      <c r="E9" s="48"/>
      <c r="F9" s="48"/>
      <c r="G9" s="48"/>
      <c r="H9" s="48"/>
      <c r="I9" s="48"/>
      <c r="J9" s="48"/>
      <c r="K9" s="48"/>
      <c r="L9" s="48"/>
      <c r="M9" s="48"/>
      <c r="N9" s="48"/>
      <c r="O9" s="48"/>
      <c r="P9" s="48"/>
      <c r="Q9" s="48"/>
      <c r="R9" s="48"/>
      <c r="S9" s="48"/>
      <c r="T9" s="48"/>
      <c r="U9" s="48"/>
      <c r="V9" s="48"/>
      <c r="W9" s="48"/>
      <c r="X9" s="48"/>
      <c r="Y9" s="24"/>
    </row>
    <row r="10" spans="1:24" s="21" customFormat="1" ht="12.75" customHeight="1">
      <c r="A10" s="307" t="s">
        <v>168</v>
      </c>
      <c r="B10" s="307"/>
      <c r="C10" s="307"/>
      <c r="D10" s="307"/>
      <c r="E10" s="307"/>
      <c r="F10" s="307"/>
      <c r="G10" s="307"/>
      <c r="H10" s="307"/>
      <c r="I10" s="307"/>
      <c r="J10" s="307"/>
      <c r="K10" s="307"/>
      <c r="L10" s="307"/>
      <c r="M10" s="307"/>
      <c r="N10" s="307"/>
      <c r="O10" s="307"/>
      <c r="P10" s="307"/>
      <c r="Q10" s="307"/>
      <c r="R10" s="307"/>
      <c r="S10" s="307"/>
      <c r="T10" s="307"/>
      <c r="U10" s="307"/>
      <c r="V10" s="307"/>
      <c r="W10" s="307"/>
      <c r="X10" s="307"/>
    </row>
    <row r="11" spans="1:24" s="21" customFormat="1" ht="6" customHeight="1">
      <c r="A11" s="49"/>
      <c r="B11" s="49"/>
      <c r="C11" s="49"/>
      <c r="D11" s="49"/>
      <c r="E11" s="49"/>
      <c r="F11" s="49"/>
      <c r="G11" s="49"/>
      <c r="H11" s="49"/>
      <c r="I11" s="49"/>
      <c r="J11" s="49"/>
      <c r="K11" s="49"/>
      <c r="L11" s="49"/>
      <c r="M11" s="49"/>
      <c r="N11" s="49"/>
      <c r="O11" s="49"/>
      <c r="P11" s="49"/>
      <c r="Q11" s="49"/>
      <c r="R11" s="49"/>
      <c r="S11" s="49"/>
      <c r="T11" s="49"/>
      <c r="U11" s="49"/>
      <c r="V11" s="49"/>
      <c r="W11" s="49"/>
      <c r="X11" s="49"/>
    </row>
    <row r="12" spans="1:24" s="21" customFormat="1" ht="24.9" customHeight="1">
      <c r="A12" s="307" t="s">
        <v>1</v>
      </c>
      <c r="B12" s="307"/>
      <c r="C12" s="307"/>
      <c r="D12" s="307"/>
      <c r="E12" s="307"/>
      <c r="F12" s="307"/>
      <c r="G12" s="307"/>
      <c r="H12" s="307"/>
      <c r="I12" s="307"/>
      <c r="J12" s="307"/>
      <c r="K12" s="307"/>
      <c r="L12" s="307"/>
      <c r="M12" s="307"/>
      <c r="N12" s="307"/>
      <c r="O12" s="307"/>
      <c r="P12" s="307"/>
      <c r="Q12" s="307"/>
      <c r="R12" s="307"/>
      <c r="S12" s="307"/>
      <c r="T12" s="307"/>
      <c r="U12" s="307"/>
      <c r="V12" s="307"/>
      <c r="W12" s="307"/>
      <c r="X12" s="307"/>
    </row>
    <row r="13" spans="1:8" s="21" customFormat="1" ht="12.75">
      <c r="A13" s="22"/>
      <c r="B13" s="22"/>
      <c r="F13" s="23"/>
      <c r="G13" s="23"/>
      <c r="H13" s="23"/>
    </row>
    <row r="14" spans="1:24" s="21" customFormat="1" ht="12.75">
      <c r="A14" s="306" t="s">
        <v>24</v>
      </c>
      <c r="B14" s="305"/>
      <c r="C14" s="305"/>
      <c r="D14" s="305"/>
      <c r="E14" s="305"/>
      <c r="F14" s="305"/>
      <c r="G14" s="305"/>
      <c r="H14" s="305"/>
      <c r="I14" s="305"/>
      <c r="J14" s="305"/>
      <c r="K14" s="305"/>
      <c r="L14" s="305"/>
      <c r="M14" s="305"/>
      <c r="N14" s="305"/>
      <c r="O14" s="305"/>
      <c r="P14" s="305"/>
      <c r="Q14" s="305"/>
      <c r="R14" s="305"/>
      <c r="S14" s="305"/>
      <c r="T14" s="305"/>
      <c r="U14" s="305"/>
      <c r="V14" s="305"/>
      <c r="W14" s="305"/>
      <c r="X14" s="305"/>
    </row>
    <row r="15" spans="1:8" s="21" customFormat="1" ht="12.75">
      <c r="A15" s="22"/>
      <c r="B15" s="22"/>
      <c r="F15" s="23"/>
      <c r="G15" s="23"/>
      <c r="H15" s="23"/>
    </row>
    <row r="16" spans="1:24" s="21" customFormat="1" ht="12.75">
      <c r="A16" s="311" t="s">
        <v>185</v>
      </c>
      <c r="B16" s="312"/>
      <c r="C16" s="312"/>
      <c r="D16" s="312"/>
      <c r="E16" s="312"/>
      <c r="F16" s="312"/>
      <c r="G16" s="312"/>
      <c r="H16" s="312"/>
      <c r="I16" s="312"/>
      <c r="J16" s="312"/>
      <c r="K16" s="312"/>
      <c r="L16" s="312"/>
      <c r="M16" s="312"/>
      <c r="N16" s="312"/>
      <c r="O16" s="312"/>
      <c r="P16" s="312"/>
      <c r="Q16" s="312"/>
      <c r="R16" s="312"/>
      <c r="S16" s="312"/>
      <c r="T16" s="312"/>
      <c r="U16" s="312"/>
      <c r="V16" s="312"/>
      <c r="W16" s="312"/>
      <c r="X16" s="312"/>
    </row>
    <row r="17" spans="1:24" s="21" customFormat="1" ht="6" customHeight="1">
      <c r="A17" s="48"/>
      <c r="B17" s="48"/>
      <c r="C17" s="48"/>
      <c r="D17" s="48"/>
      <c r="E17" s="48"/>
      <c r="F17" s="48"/>
      <c r="G17" s="48"/>
      <c r="H17" s="48"/>
      <c r="I17" s="48"/>
      <c r="J17" s="48"/>
      <c r="K17" s="48"/>
      <c r="L17" s="48"/>
      <c r="M17" s="48"/>
      <c r="N17" s="48"/>
      <c r="O17" s="48"/>
      <c r="P17" s="48"/>
      <c r="Q17" s="48"/>
      <c r="R17" s="48"/>
      <c r="S17" s="48"/>
      <c r="T17" s="48"/>
      <c r="U17" s="48"/>
      <c r="V17" s="48"/>
      <c r="W17" s="48"/>
      <c r="X17" s="48"/>
    </row>
    <row r="18" spans="1:24" s="21" customFormat="1" ht="12.75">
      <c r="A18" s="284" t="s">
        <v>186</v>
      </c>
      <c r="B18" s="284"/>
      <c r="C18" s="285"/>
      <c r="D18" s="285"/>
      <c r="E18" s="285"/>
      <c r="F18" s="285"/>
      <c r="G18" s="285"/>
      <c r="H18" s="285"/>
      <c r="I18" s="285"/>
      <c r="J18" s="285"/>
      <c r="K18" s="285"/>
      <c r="L18" s="285"/>
      <c r="M18" s="285"/>
      <c r="N18" s="285"/>
      <c r="O18" s="285"/>
      <c r="P18" s="285"/>
      <c r="Q18" s="285"/>
      <c r="R18" s="285"/>
      <c r="S18" s="285"/>
      <c r="T18" s="285"/>
      <c r="U18" s="285"/>
      <c r="V18" s="285"/>
      <c r="W18" s="285"/>
      <c r="X18" s="285"/>
    </row>
    <row r="19" spans="1:8" s="21" customFormat="1" ht="12.75">
      <c r="A19" s="22"/>
      <c r="B19" s="22"/>
      <c r="F19" s="23"/>
      <c r="G19" s="23"/>
      <c r="H19" s="23"/>
    </row>
    <row r="20" spans="1:8" s="21" customFormat="1" ht="12.75">
      <c r="A20" s="22"/>
      <c r="B20" s="22"/>
      <c r="F20" s="23"/>
      <c r="G20" s="23"/>
      <c r="H20" s="23"/>
    </row>
    <row r="21" spans="2:8" s="21" customFormat="1" ht="12.75">
      <c r="B21" s="22"/>
      <c r="F21" s="23"/>
      <c r="G21" s="23"/>
      <c r="H21" s="23"/>
    </row>
    <row r="22" spans="1:25" s="21" customFormat="1" ht="12.75" customHeight="1">
      <c r="A22" s="311" t="s">
        <v>188</v>
      </c>
      <c r="B22" s="312"/>
      <c r="C22" s="312"/>
      <c r="D22" s="312"/>
      <c r="E22" s="312"/>
      <c r="F22" s="312"/>
      <c r="G22" s="312"/>
      <c r="H22" s="312"/>
      <c r="I22" s="312"/>
      <c r="J22" s="223"/>
      <c r="K22" s="223"/>
      <c r="L22" s="223"/>
      <c r="M22" s="223"/>
      <c r="N22" s="223"/>
      <c r="O22" s="223"/>
      <c r="P22" s="223"/>
      <c r="Q22" s="223"/>
      <c r="R22" s="223"/>
      <c r="S22" s="223"/>
      <c r="T22" s="223"/>
      <c r="U22" s="223"/>
      <c r="V22" s="223"/>
      <c r="W22" s="223"/>
      <c r="X22" s="223"/>
      <c r="Y22" s="223"/>
    </row>
    <row r="23" s="21" customFormat="1" ht="6" customHeight="1">
      <c r="A23" s="48"/>
    </row>
    <row r="24" spans="1:24" s="21" customFormat="1" ht="12.75" customHeight="1">
      <c r="A24" s="284" t="s">
        <v>189</v>
      </c>
      <c r="B24" s="284"/>
      <c r="C24" s="285"/>
      <c r="D24" s="285"/>
      <c r="E24" s="285"/>
      <c r="F24" s="285"/>
      <c r="G24" s="285"/>
      <c r="H24" s="285"/>
      <c r="I24" s="285"/>
      <c r="J24" s="285"/>
      <c r="K24" s="285"/>
      <c r="L24" s="285"/>
      <c r="M24" s="285"/>
      <c r="N24" s="285"/>
      <c r="O24" s="285"/>
      <c r="P24" s="285"/>
      <c r="Q24" s="285"/>
      <c r="R24" s="285"/>
      <c r="S24" s="285"/>
      <c r="T24" s="285"/>
      <c r="U24" s="285"/>
      <c r="V24" s="285"/>
      <c r="W24" s="285"/>
      <c r="X24" s="285"/>
    </row>
    <row r="25" spans="1:24" s="21" customFormat="1" ht="6" customHeight="1">
      <c r="A25" s="50"/>
      <c r="B25" s="50"/>
      <c r="C25" s="51"/>
      <c r="D25" s="51"/>
      <c r="E25" s="51"/>
      <c r="F25" s="51"/>
      <c r="G25" s="51"/>
      <c r="H25" s="51"/>
      <c r="I25" s="51"/>
      <c r="J25" s="51"/>
      <c r="K25" s="51"/>
      <c r="L25" s="51"/>
      <c r="M25" s="51"/>
      <c r="N25" s="51"/>
      <c r="O25" s="51"/>
      <c r="P25" s="51"/>
      <c r="Q25" s="51"/>
      <c r="R25" s="51"/>
      <c r="S25" s="51"/>
      <c r="T25" s="51"/>
      <c r="U25" s="51"/>
      <c r="V25" s="51"/>
      <c r="W25" s="51"/>
      <c r="X25" s="51"/>
    </row>
    <row r="26" spans="1:24" s="21" customFormat="1" ht="12.75" customHeight="1">
      <c r="A26" s="250" t="s">
        <v>190</v>
      </c>
      <c r="B26" s="250"/>
      <c r="C26" s="251"/>
      <c r="D26" s="251"/>
      <c r="E26" s="251"/>
      <c r="F26" s="251"/>
      <c r="G26" s="251"/>
      <c r="H26" s="251"/>
      <c r="I26" s="251"/>
      <c r="J26" s="251"/>
      <c r="K26" s="251"/>
      <c r="L26" s="251"/>
      <c r="M26" s="251"/>
      <c r="N26" s="251"/>
      <c r="O26" s="251"/>
      <c r="P26" s="251"/>
      <c r="Q26" s="251"/>
      <c r="R26" s="251"/>
      <c r="S26" s="251"/>
      <c r="T26" s="251"/>
      <c r="U26" s="251"/>
      <c r="V26" s="251"/>
      <c r="W26" s="251"/>
      <c r="X26" s="251"/>
    </row>
    <row r="27" spans="1:8" s="21" customFormat="1" ht="6" customHeight="1">
      <c r="A27" s="25"/>
      <c r="B27" s="25"/>
      <c r="F27" s="23"/>
      <c r="G27" s="23"/>
      <c r="H27" s="23"/>
    </row>
    <row r="28" spans="1:24" ht="12.75" customHeight="1">
      <c r="A28" s="239" t="s">
        <v>176</v>
      </c>
      <c r="B28" s="241"/>
      <c r="C28" s="239" t="s">
        <v>169</v>
      </c>
      <c r="D28" s="240"/>
      <c r="E28" s="241"/>
      <c r="F28" s="239" t="s">
        <v>170</v>
      </c>
      <c r="G28" s="240"/>
      <c r="H28" s="240"/>
      <c r="I28" s="241"/>
      <c r="J28" s="239" t="s">
        <v>171</v>
      </c>
      <c r="K28" s="240"/>
      <c r="L28" s="240"/>
      <c r="M28" s="240"/>
      <c r="N28" s="240"/>
      <c r="O28" s="241"/>
      <c r="P28" s="239" t="s">
        <v>0</v>
      </c>
      <c r="Q28" s="240"/>
      <c r="R28" s="240"/>
      <c r="S28" s="240"/>
      <c r="T28" s="240"/>
      <c r="U28" s="240"/>
      <c r="V28" s="240"/>
      <c r="W28" s="240"/>
      <c r="X28" s="241"/>
    </row>
    <row r="29" spans="1:24" ht="12.75" customHeight="1">
      <c r="A29" s="242"/>
      <c r="B29" s="246"/>
      <c r="C29" s="242"/>
      <c r="D29" s="243"/>
      <c r="E29" s="244"/>
      <c r="F29" s="242" t="s">
        <v>246</v>
      </c>
      <c r="G29" s="245"/>
      <c r="H29" s="245"/>
      <c r="I29" s="246"/>
      <c r="J29" s="242"/>
      <c r="K29" s="245"/>
      <c r="L29" s="245"/>
      <c r="M29" s="245"/>
      <c r="N29" s="245"/>
      <c r="O29" s="246"/>
      <c r="P29" s="242" t="s">
        <v>268</v>
      </c>
      <c r="Q29" s="245"/>
      <c r="R29" s="245"/>
      <c r="S29" s="245"/>
      <c r="T29" s="245"/>
      <c r="U29" s="245"/>
      <c r="V29" s="245"/>
      <c r="W29" s="245"/>
      <c r="X29" s="246"/>
    </row>
    <row r="30" spans="1:22" ht="6" customHeight="1">
      <c r="A30" s="3"/>
      <c r="B30" s="3"/>
      <c r="C30" s="3"/>
      <c r="D30" s="3"/>
      <c r="E30" s="3"/>
      <c r="F30" s="3"/>
      <c r="G30" s="3"/>
      <c r="H30" s="3"/>
      <c r="I30" s="3"/>
      <c r="J30" s="3"/>
      <c r="K30" s="3"/>
      <c r="L30" s="3"/>
      <c r="M30" s="3"/>
      <c r="N30" s="3"/>
      <c r="O30" s="3"/>
      <c r="P30" s="3"/>
      <c r="Q30" s="3"/>
      <c r="R30" s="3"/>
      <c r="S30" s="3"/>
      <c r="T30" s="3"/>
      <c r="U30" s="3"/>
      <c r="V30" s="3"/>
    </row>
    <row r="31" spans="1:24" ht="12.75">
      <c r="A31" s="239" t="s">
        <v>172</v>
      </c>
      <c r="B31" s="240"/>
      <c r="C31" s="240"/>
      <c r="D31" s="240"/>
      <c r="E31" s="240"/>
      <c r="F31" s="241"/>
      <c r="G31" s="239" t="s">
        <v>173</v>
      </c>
      <c r="H31" s="240"/>
      <c r="I31" s="240"/>
      <c r="J31" s="241"/>
      <c r="K31" s="239" t="s">
        <v>174</v>
      </c>
      <c r="L31" s="240"/>
      <c r="M31" s="240"/>
      <c r="N31" s="240"/>
      <c r="O31" s="240"/>
      <c r="P31" s="241"/>
      <c r="Q31" s="239" t="s">
        <v>179</v>
      </c>
      <c r="R31" s="240"/>
      <c r="S31" s="240"/>
      <c r="T31" s="240"/>
      <c r="U31" s="240"/>
      <c r="V31" s="240"/>
      <c r="W31" s="240"/>
      <c r="X31" s="241"/>
    </row>
    <row r="32" spans="1:24" ht="12.75">
      <c r="A32" s="247" t="s">
        <v>236</v>
      </c>
      <c r="B32" s="248"/>
      <c r="C32" s="248"/>
      <c r="D32" s="248"/>
      <c r="E32" s="248"/>
      <c r="F32" s="249"/>
      <c r="G32" s="242" t="s">
        <v>235</v>
      </c>
      <c r="H32" s="243"/>
      <c r="I32" s="243"/>
      <c r="J32" s="244"/>
      <c r="K32" s="242" t="s">
        <v>265</v>
      </c>
      <c r="L32" s="245"/>
      <c r="M32" s="245"/>
      <c r="N32" s="245"/>
      <c r="O32" s="245"/>
      <c r="P32" s="246"/>
      <c r="Q32" s="242" t="s">
        <v>247</v>
      </c>
      <c r="R32" s="245"/>
      <c r="S32" s="245"/>
      <c r="T32" s="245"/>
      <c r="U32" s="245"/>
      <c r="V32" s="245"/>
      <c r="W32" s="245"/>
      <c r="X32" s="246"/>
    </row>
    <row r="33" spans="1:8" s="21" customFormat="1" ht="9" customHeight="1">
      <c r="A33" s="22"/>
      <c r="B33" s="22"/>
      <c r="F33" s="23"/>
      <c r="G33" s="23"/>
      <c r="H33" s="23"/>
    </row>
    <row r="34" s="27" customFormat="1" ht="12.75"/>
    <row r="35" spans="1:24" s="21" customFormat="1" ht="12.75" customHeight="1">
      <c r="A35" s="250" t="s">
        <v>191</v>
      </c>
      <c r="B35" s="250"/>
      <c r="C35" s="251"/>
      <c r="D35" s="251"/>
      <c r="E35" s="251"/>
      <c r="F35" s="251"/>
      <c r="G35" s="251"/>
      <c r="H35" s="251"/>
      <c r="I35" s="251"/>
      <c r="J35" s="251"/>
      <c r="K35" s="251"/>
      <c r="L35" s="251"/>
      <c r="M35" s="251"/>
      <c r="N35" s="251"/>
      <c r="O35" s="251"/>
      <c r="P35" s="251"/>
      <c r="Q35" s="251"/>
      <c r="R35" s="251"/>
      <c r="S35" s="251"/>
      <c r="T35" s="251"/>
      <c r="U35" s="251"/>
      <c r="V35" s="251"/>
      <c r="W35" s="251"/>
      <c r="X35" s="251"/>
    </row>
    <row r="36" spans="1:24" s="21" customFormat="1" ht="6" customHeight="1">
      <c r="A36" s="26"/>
      <c r="B36" s="26"/>
      <c r="C36" s="32"/>
      <c r="D36" s="32"/>
      <c r="E36" s="32"/>
      <c r="F36" s="32"/>
      <c r="G36" s="32"/>
      <c r="H36" s="32"/>
      <c r="I36" s="32"/>
      <c r="J36" s="32"/>
      <c r="K36" s="32"/>
      <c r="L36" s="32"/>
      <c r="M36" s="32"/>
      <c r="N36" s="32"/>
      <c r="O36" s="32"/>
      <c r="P36" s="32"/>
      <c r="Q36" s="32"/>
      <c r="R36" s="32"/>
      <c r="S36" s="32"/>
      <c r="T36" s="32"/>
      <c r="U36" s="32"/>
      <c r="V36" s="32"/>
      <c r="W36" s="32"/>
      <c r="X36" s="32"/>
    </row>
    <row r="37" spans="1:24" s="21" customFormat="1" ht="12.75" customHeight="1">
      <c r="A37" s="239" t="s">
        <v>16</v>
      </c>
      <c r="B37" s="241"/>
      <c r="C37" s="92" t="s">
        <v>91</v>
      </c>
      <c r="D37" s="239" t="s">
        <v>14</v>
      </c>
      <c r="E37" s="240"/>
      <c r="F37" s="241"/>
      <c r="G37" s="239" t="s">
        <v>12</v>
      </c>
      <c r="H37" s="240"/>
      <c r="I37" s="240"/>
      <c r="J37" s="240"/>
      <c r="K37" s="240"/>
      <c r="L37" s="240"/>
      <c r="M37" s="240"/>
      <c r="N37" s="240"/>
      <c r="O37" s="240"/>
      <c r="P37" s="240"/>
      <c r="Q37" s="240"/>
      <c r="R37" s="240"/>
      <c r="S37" s="241"/>
      <c r="T37" s="93" t="s">
        <v>7</v>
      </c>
      <c r="U37" s="93" t="s">
        <v>8</v>
      </c>
      <c r="V37" s="93" t="s">
        <v>9</v>
      </c>
      <c r="W37" s="93" t="s">
        <v>10</v>
      </c>
      <c r="X37" s="93" t="s">
        <v>11</v>
      </c>
    </row>
    <row r="38" spans="1:24" s="21" customFormat="1" ht="12.75" customHeight="1">
      <c r="A38" s="274">
        <v>45017</v>
      </c>
      <c r="B38" s="275"/>
      <c r="C38" s="91" t="s">
        <v>259</v>
      </c>
      <c r="D38" s="242" t="s">
        <v>78</v>
      </c>
      <c r="E38" s="243"/>
      <c r="F38" s="244"/>
      <c r="G38" s="242" t="s">
        <v>248</v>
      </c>
      <c r="H38" s="243"/>
      <c r="I38" s="243"/>
      <c r="J38" s="243"/>
      <c r="K38" s="243"/>
      <c r="L38" s="243"/>
      <c r="M38" s="243"/>
      <c r="N38" s="243"/>
      <c r="O38" s="243"/>
      <c r="P38" s="243"/>
      <c r="Q38" s="243"/>
      <c r="R38" s="243"/>
      <c r="S38" s="244"/>
      <c r="T38" s="95">
        <f ca="1">IF(ISERROR(INDIRECT("'BDI ("&amp;RIGHT(T37,1)&amp;")'!N27")),"",INDIRECT("'BDI ("&amp;RIGHT(T37,1)&amp;")'!N27"))</f>
        <v>0.2009</v>
      </c>
      <c r="U38" s="96" t="str">
        <f ca="1">IF(ISERROR(INDIRECT("'BDI ("&amp;RIGHT(U37,1)&amp;")'!N27")),"",INDIRECT("'BDI ("&amp;RIGHT(U37,1)&amp;")'!N27"))</f>
        <v/>
      </c>
      <c r="V38" s="96" t="str">
        <f ca="1">IF(ISERROR(INDIRECT("'BDI ("&amp;RIGHT(V37,1)&amp;")'!N27")),"",INDIRECT("'BDI ("&amp;RIGHT(V37,1)&amp;")'!N27"))</f>
        <v/>
      </c>
      <c r="W38" s="96" t="str">
        <f ca="1">IF(ISERROR(INDIRECT("'BDI ("&amp;RIGHT(W37,1)&amp;")'!N27")),"",INDIRECT("'BDI ("&amp;RIGHT(W37,1)&amp;")'!N27"))</f>
        <v/>
      </c>
      <c r="X38" s="96" t="str">
        <f ca="1">IF(ISERROR(INDIRECT("'BDI ("&amp;RIGHT(X37,1)&amp;")'!N27")),"",INDIRECT("'BDI ("&amp;RIGHT(X37,1)&amp;")'!N27"))</f>
        <v/>
      </c>
    </row>
    <row r="39" spans="1:24" s="21" customFormat="1" ht="11.25" customHeight="1">
      <c r="A39" s="26"/>
      <c r="B39" s="26"/>
      <c r="C39" s="32"/>
      <c r="D39" s="32"/>
      <c r="E39" s="32"/>
      <c r="F39" s="32"/>
      <c r="G39" s="32"/>
      <c r="H39" s="32"/>
      <c r="I39" s="32"/>
      <c r="J39" s="32"/>
      <c r="K39" s="32"/>
      <c r="L39" s="32"/>
      <c r="M39" s="32"/>
      <c r="N39" s="32"/>
      <c r="O39" s="32"/>
      <c r="P39" s="32"/>
      <c r="Q39" s="32"/>
      <c r="R39" s="32"/>
      <c r="S39" s="32"/>
      <c r="T39" s="32"/>
      <c r="U39" s="32"/>
      <c r="V39" s="32"/>
      <c r="W39" s="32"/>
      <c r="X39" s="32"/>
    </row>
    <row r="40" spans="1:24" s="21" customFormat="1" ht="12.75" customHeight="1">
      <c r="A40" s="250" t="s">
        <v>161</v>
      </c>
      <c r="B40" s="250"/>
      <c r="C40" s="251"/>
      <c r="D40" s="251"/>
      <c r="E40" s="251"/>
      <c r="F40" s="251"/>
      <c r="G40" s="251"/>
      <c r="H40" s="251"/>
      <c r="I40" s="251"/>
      <c r="J40" s="251"/>
      <c r="K40" s="251"/>
      <c r="L40" s="251"/>
      <c r="M40" s="251"/>
      <c r="N40" s="251"/>
      <c r="O40" s="251"/>
      <c r="P40" s="251"/>
      <c r="Q40" s="251"/>
      <c r="R40" s="251"/>
      <c r="S40" s="251"/>
      <c r="T40" s="251"/>
      <c r="U40" s="251"/>
      <c r="V40" s="251"/>
      <c r="W40" s="251"/>
      <c r="X40" s="251"/>
    </row>
    <row r="41" spans="1:24" s="21" customFormat="1" ht="6" customHeight="1">
      <c r="A41" s="26"/>
      <c r="B41" s="26"/>
      <c r="C41" s="32"/>
      <c r="D41" s="32"/>
      <c r="E41" s="32"/>
      <c r="F41" s="32"/>
      <c r="G41" s="32"/>
      <c r="H41" s="32"/>
      <c r="I41" s="32"/>
      <c r="J41" s="32"/>
      <c r="K41" s="32"/>
      <c r="L41" s="32"/>
      <c r="M41" s="32"/>
      <c r="N41" s="32"/>
      <c r="O41" s="32"/>
      <c r="P41" s="32"/>
      <c r="Q41" s="32"/>
      <c r="R41" s="32"/>
      <c r="S41" s="32"/>
      <c r="T41" s="32"/>
      <c r="U41" s="32"/>
      <c r="V41" s="32"/>
      <c r="W41" s="32"/>
      <c r="X41" s="32"/>
    </row>
    <row r="42" spans="1:24" s="21" customFormat="1" ht="12.75" customHeight="1">
      <c r="A42" s="239" t="s">
        <v>87</v>
      </c>
      <c r="B42" s="241"/>
      <c r="C42" s="239" t="s">
        <v>111</v>
      </c>
      <c r="D42" s="240"/>
      <c r="E42" s="240"/>
      <c r="F42" s="240"/>
      <c r="G42" s="240"/>
      <c r="H42" s="239" t="s">
        <v>16</v>
      </c>
      <c r="I42" s="240"/>
      <c r="J42" s="28" t="s">
        <v>91</v>
      </c>
      <c r="K42" s="239" t="s">
        <v>88</v>
      </c>
      <c r="L42" s="240"/>
      <c r="M42" s="241"/>
      <c r="N42" s="28" t="s">
        <v>92</v>
      </c>
      <c r="O42" s="239" t="s">
        <v>93</v>
      </c>
      <c r="P42" s="240"/>
      <c r="Q42" s="240"/>
      <c r="R42" s="240"/>
      <c r="S42" s="240"/>
      <c r="T42" s="241"/>
      <c r="U42" s="293" t="s">
        <v>89</v>
      </c>
      <c r="V42" s="294"/>
      <c r="W42" s="293" t="s">
        <v>90</v>
      </c>
      <c r="X42" s="294"/>
    </row>
    <row r="43" spans="1:24" s="21" customFormat="1" ht="12.75" customHeight="1">
      <c r="A43" s="247"/>
      <c r="B43" s="308"/>
      <c r="C43" s="242"/>
      <c r="D43" s="243"/>
      <c r="E43" s="243"/>
      <c r="F43" s="243"/>
      <c r="G43" s="243"/>
      <c r="H43" s="274"/>
      <c r="I43" s="275"/>
      <c r="J43" s="88"/>
      <c r="K43" s="252"/>
      <c r="L43" s="253"/>
      <c r="M43" s="254"/>
      <c r="N43" s="104"/>
      <c r="O43" s="297"/>
      <c r="P43" s="298"/>
      <c r="Q43" s="298"/>
      <c r="R43" s="299"/>
      <c r="S43" s="299"/>
      <c r="T43" s="300"/>
      <c r="U43" s="295"/>
      <c r="V43" s="301"/>
      <c r="W43" s="295"/>
      <c r="X43" s="296"/>
    </row>
    <row r="44" spans="1:24" s="21" customFormat="1" ht="12.75" customHeight="1">
      <c r="A44" s="26"/>
      <c r="B44" s="26"/>
      <c r="C44" s="32"/>
      <c r="D44" s="32"/>
      <c r="E44" s="32"/>
      <c r="F44" s="32"/>
      <c r="G44" s="32"/>
      <c r="H44" s="32"/>
      <c r="I44" s="32"/>
      <c r="J44" s="32"/>
      <c r="K44" s="32"/>
      <c r="L44" s="32"/>
      <c r="M44" s="32"/>
      <c r="N44" s="32"/>
      <c r="O44" s="32"/>
      <c r="P44" s="32"/>
      <c r="Q44" s="32"/>
      <c r="R44" s="32"/>
      <c r="S44" s="32"/>
      <c r="T44" s="32"/>
      <c r="U44" s="32"/>
      <c r="V44" s="32"/>
      <c r="W44" s="32"/>
      <c r="X44" s="32"/>
    </row>
    <row r="45" spans="1:24" s="21" customFormat="1" ht="12.75" customHeight="1">
      <c r="A45" s="250" t="s">
        <v>192</v>
      </c>
      <c r="B45" s="250"/>
      <c r="C45" s="251"/>
      <c r="D45" s="251"/>
      <c r="E45" s="251"/>
      <c r="F45" s="251"/>
      <c r="G45" s="251"/>
      <c r="H45" s="251"/>
      <c r="I45" s="251"/>
      <c r="J45" s="251"/>
      <c r="K45" s="251"/>
      <c r="L45" s="251"/>
      <c r="M45" s="251"/>
      <c r="N45" s="251"/>
      <c r="O45" s="251"/>
      <c r="P45" s="251"/>
      <c r="Q45" s="251"/>
      <c r="R45" s="251"/>
      <c r="S45" s="251"/>
      <c r="T45" s="251"/>
      <c r="U45" s="251"/>
      <c r="V45" s="251"/>
      <c r="W45" s="251"/>
      <c r="X45" s="251"/>
    </row>
    <row r="46" spans="1:24" s="21" customFormat="1" ht="6" customHeight="1">
      <c r="A46" s="26"/>
      <c r="B46" s="26"/>
      <c r="C46" s="32"/>
      <c r="D46" s="32"/>
      <c r="E46" s="32"/>
      <c r="F46" s="32"/>
      <c r="G46" s="32"/>
      <c r="H46" s="32"/>
      <c r="I46" s="32"/>
      <c r="J46" s="32"/>
      <c r="K46" s="32"/>
      <c r="L46" s="32"/>
      <c r="M46" s="32"/>
      <c r="N46" s="32"/>
      <c r="O46" s="32"/>
      <c r="P46" s="32"/>
      <c r="Q46" s="32"/>
      <c r="R46" s="32"/>
      <c r="S46" s="32"/>
      <c r="T46" s="32"/>
      <c r="U46" s="32"/>
      <c r="V46" s="32"/>
      <c r="W46" s="32"/>
      <c r="X46" s="32"/>
    </row>
    <row r="47" spans="1:3" s="21" customFormat="1" ht="12.75">
      <c r="A47" s="28" t="s">
        <v>15</v>
      </c>
      <c r="B47" s="29"/>
      <c r="C47" s="30"/>
    </row>
    <row r="48" spans="1:5" s="21" customFormat="1" ht="12.75">
      <c r="A48" s="278">
        <v>45139</v>
      </c>
      <c r="B48" s="279"/>
      <c r="C48" s="280"/>
      <c r="E48" s="37"/>
    </row>
    <row r="49" spans="1:8" s="21" customFormat="1" ht="12.75">
      <c r="A49" s="22"/>
      <c r="B49" s="22"/>
      <c r="F49" s="33"/>
      <c r="G49" s="34"/>
      <c r="H49" s="35"/>
    </row>
    <row r="50" spans="1:24" s="21" customFormat="1" ht="12.75">
      <c r="A50" s="250" t="s">
        <v>193</v>
      </c>
      <c r="B50" s="250"/>
      <c r="C50" s="251"/>
      <c r="D50" s="251"/>
      <c r="E50" s="251"/>
      <c r="F50" s="251"/>
      <c r="G50" s="251"/>
      <c r="H50" s="251"/>
      <c r="I50" s="251"/>
      <c r="J50" s="251"/>
      <c r="K50" s="251"/>
      <c r="L50" s="251"/>
      <c r="M50" s="251"/>
      <c r="N50" s="251"/>
      <c r="O50" s="251"/>
      <c r="P50" s="251"/>
      <c r="Q50" s="251"/>
      <c r="R50" s="251"/>
      <c r="S50" s="251"/>
      <c r="T50" s="251"/>
      <c r="U50" s="251"/>
      <c r="V50" s="251"/>
      <c r="W50" s="251"/>
      <c r="X50" s="251"/>
    </row>
    <row r="51" spans="1:24" s="21" customFormat="1" ht="12.75">
      <c r="A51" s="26"/>
      <c r="B51" s="26"/>
      <c r="C51" s="32"/>
      <c r="D51" s="32"/>
      <c r="E51" s="32"/>
      <c r="F51" s="32"/>
      <c r="G51" s="32"/>
      <c r="H51" s="32"/>
      <c r="I51" s="32"/>
      <c r="J51" s="32"/>
      <c r="K51" s="32"/>
      <c r="L51" s="32"/>
      <c r="M51"/>
      <c r="N51"/>
      <c r="O51"/>
      <c r="P51"/>
      <c r="Q51"/>
      <c r="R51"/>
      <c r="S51"/>
      <c r="T51"/>
      <c r="U51"/>
      <c r="V51"/>
      <c r="W51"/>
      <c r="X51"/>
    </row>
    <row r="52" spans="1:24" s="21" customFormat="1" ht="12.75">
      <c r="A52" s="26"/>
      <c r="B52" s="26"/>
      <c r="C52" s="32"/>
      <c r="D52" s="32"/>
      <c r="E52" s="32"/>
      <c r="F52" s="32"/>
      <c r="G52" s="8" t="s">
        <v>18</v>
      </c>
      <c r="H52" s="32"/>
      <c r="I52" s="32"/>
      <c r="K52" s="86" t="s">
        <v>237</v>
      </c>
      <c r="L52" s="32"/>
      <c r="M52"/>
      <c r="N52"/>
      <c r="O52"/>
      <c r="P52"/>
      <c r="Q52"/>
      <c r="R52"/>
      <c r="S52"/>
      <c r="T52"/>
      <c r="U52"/>
      <c r="V52"/>
      <c r="W52"/>
      <c r="X52"/>
    </row>
    <row r="53" spans="1:24" s="21" customFormat="1" ht="12.75">
      <c r="A53" s="39"/>
      <c r="B53" s="39"/>
      <c r="C53" s="40"/>
      <c r="D53" s="40"/>
      <c r="E53" s="40"/>
      <c r="F53" s="33"/>
      <c r="G53" s="39"/>
      <c r="H53" s="39"/>
      <c r="I53" s="40"/>
      <c r="J53" s="40"/>
      <c r="K53" s="40"/>
      <c r="L53" s="2"/>
      <c r="M53"/>
      <c r="N53"/>
      <c r="O53"/>
      <c r="P53"/>
      <c r="Q53"/>
      <c r="R53"/>
      <c r="S53"/>
      <c r="T53"/>
      <c r="U53"/>
      <c r="V53"/>
      <c r="W53"/>
      <c r="X53"/>
    </row>
    <row r="54" spans="1:24" s="21" customFormat="1" ht="12.75">
      <c r="A54" s="101" t="s">
        <v>140</v>
      </c>
      <c r="B54" s="282" t="s">
        <v>254</v>
      </c>
      <c r="C54" s="283"/>
      <c r="D54" s="283"/>
      <c r="E54" s="283"/>
      <c r="F54" s="33"/>
      <c r="G54" s="101" t="s">
        <v>140</v>
      </c>
      <c r="H54" s="283"/>
      <c r="I54" s="283"/>
      <c r="J54" s="283"/>
      <c r="K54" s="283"/>
      <c r="L54" s="2"/>
      <c r="M54"/>
      <c r="N54"/>
      <c r="O54"/>
      <c r="P54"/>
      <c r="Q54"/>
      <c r="R54"/>
      <c r="S54"/>
      <c r="T54"/>
      <c r="U54"/>
      <c r="V54"/>
      <c r="W54"/>
      <c r="X54"/>
    </row>
    <row r="55" spans="1:24" s="21" customFormat="1" ht="12.75">
      <c r="A55" s="101" t="str">
        <f>IF(OR(TipoOrçamento="BASE",TipoOrçamento="REPROGRAMADONPL"),"Título:","Cargo:")</f>
        <v>Título:</v>
      </c>
      <c r="B55" s="282" t="s">
        <v>255</v>
      </c>
      <c r="C55" s="283"/>
      <c r="D55" s="283"/>
      <c r="E55" s="283"/>
      <c r="F55" s="33"/>
      <c r="G55" s="101" t="str">
        <f>A55</f>
        <v>Título:</v>
      </c>
      <c r="H55" s="283"/>
      <c r="I55" s="283"/>
      <c r="J55" s="283"/>
      <c r="K55" s="283"/>
      <c r="L55" s="2"/>
      <c r="M55"/>
      <c r="N55"/>
      <c r="O55"/>
      <c r="P55"/>
      <c r="Q55"/>
      <c r="R55"/>
      <c r="S55"/>
      <c r="T55"/>
      <c r="U55"/>
      <c r="V55"/>
      <c r="W55"/>
      <c r="X55"/>
    </row>
    <row r="56" spans="1:24" s="21" customFormat="1" ht="12.75">
      <c r="A56" s="101" t="str">
        <f>IF(OR(TipoOrçamento="BASE",TipoOrçamento="REPROGRAMADONPL"),"CREA/CAU:","Empresa:")</f>
        <v>CREA/CAU:</v>
      </c>
      <c r="B56" s="288" t="s">
        <v>256</v>
      </c>
      <c r="C56" s="281"/>
      <c r="D56" s="281"/>
      <c r="E56" s="281"/>
      <c r="F56" s="33"/>
      <c r="G56" s="101" t="str">
        <f>A56</f>
        <v>CREA/CAU:</v>
      </c>
      <c r="H56" s="281"/>
      <c r="I56" s="281"/>
      <c r="J56" s="281"/>
      <c r="K56" s="281"/>
      <c r="L56" s="2"/>
      <c r="M56"/>
      <c r="N56"/>
      <c r="O56"/>
      <c r="P56"/>
      <c r="Q56"/>
      <c r="R56"/>
      <c r="S56"/>
      <c r="T56"/>
      <c r="U56"/>
      <c r="V56"/>
      <c r="W56"/>
      <c r="X56"/>
    </row>
    <row r="57" spans="1:24" s="21" customFormat="1" ht="12.75">
      <c r="A57" s="101" t="str">
        <f>IF(OR(TipoOrçamento="BASE",TipoOrçamento="REPROGRAMADONPL"),"ART/RRT:","CNPJ:")</f>
        <v>ART/RRT:</v>
      </c>
      <c r="B57" s="288"/>
      <c r="C57" s="281"/>
      <c r="D57" s="281"/>
      <c r="E57" s="281"/>
      <c r="F57" s="33"/>
      <c r="G57" s="101" t="str">
        <f>A57</f>
        <v>ART/RRT:</v>
      </c>
      <c r="H57" s="281"/>
      <c r="I57" s="281"/>
      <c r="J57" s="281"/>
      <c r="K57" s="281"/>
      <c r="L57" s="2"/>
      <c r="M57"/>
      <c r="N57"/>
      <c r="O57"/>
      <c r="P57"/>
      <c r="Q57"/>
      <c r="R57"/>
      <c r="S57"/>
      <c r="T57"/>
      <c r="U57"/>
      <c r="V57"/>
      <c r="W57"/>
      <c r="X57"/>
    </row>
    <row r="58" spans="1:24" s="21" customFormat="1" ht="12.75">
      <c r="A58" s="22"/>
      <c r="B58" s="22"/>
      <c r="F58" s="33"/>
      <c r="G58" s="34"/>
      <c r="H58" s="35"/>
      <c r="M58"/>
      <c r="N58"/>
      <c r="O58"/>
      <c r="P58"/>
      <c r="Q58"/>
      <c r="R58"/>
      <c r="S58"/>
      <c r="T58"/>
      <c r="U58"/>
      <c r="V58"/>
      <c r="W58"/>
      <c r="X58"/>
    </row>
    <row r="59" spans="1:24" s="21" customFormat="1" ht="12.75">
      <c r="A59" s="22"/>
      <c r="B59" s="22"/>
      <c r="F59" s="33"/>
      <c r="G59" s="34"/>
      <c r="H59" s="35"/>
      <c r="M59"/>
      <c r="N59"/>
      <c r="O59"/>
      <c r="P59"/>
      <c r="Q59"/>
      <c r="R59"/>
      <c r="S59"/>
      <c r="T59"/>
      <c r="U59"/>
      <c r="V59"/>
      <c r="W59"/>
      <c r="X59"/>
    </row>
    <row r="60" spans="1:24" s="21" customFormat="1" ht="12.75" customHeight="1">
      <c r="A60" s="284" t="s">
        <v>194</v>
      </c>
      <c r="B60" s="284"/>
      <c r="C60" s="285"/>
      <c r="D60" s="285"/>
      <c r="E60" s="285"/>
      <c r="F60" s="285"/>
      <c r="G60" s="285"/>
      <c r="H60" s="285"/>
      <c r="I60" s="285"/>
      <c r="J60" s="285"/>
      <c r="K60" s="285"/>
      <c r="L60" s="285"/>
      <c r="M60" s="285"/>
      <c r="N60" s="285"/>
      <c r="O60" s="285"/>
      <c r="P60" s="285"/>
      <c r="Q60" s="285"/>
      <c r="R60" s="285"/>
      <c r="S60" s="285"/>
      <c r="T60" s="285"/>
      <c r="U60" s="285"/>
      <c r="V60" s="285"/>
      <c r="W60" s="285"/>
      <c r="X60" s="285"/>
    </row>
    <row r="61" spans="1:24" s="21" customFormat="1" ht="12.75">
      <c r="A61" s="50"/>
      <c r="B61" s="50"/>
      <c r="C61" s="51"/>
      <c r="D61" s="51"/>
      <c r="E61" s="51"/>
      <c r="F61" s="51"/>
      <c r="G61" s="51"/>
      <c r="H61" s="51"/>
      <c r="I61" s="51"/>
      <c r="J61" s="51"/>
      <c r="K61" s="51"/>
      <c r="L61" s="51"/>
      <c r="M61" s="51"/>
      <c r="N61" s="51"/>
      <c r="O61" s="51"/>
      <c r="P61" s="51"/>
      <c r="Q61" s="51"/>
      <c r="R61" s="51"/>
      <c r="S61" s="51"/>
      <c r="T61" s="51"/>
      <c r="U61" s="51"/>
      <c r="V61" s="51"/>
      <c r="W61" s="51"/>
      <c r="X61" s="51"/>
    </row>
    <row r="62" spans="1:24" s="161" customFormat="1" ht="12.75" customHeight="1">
      <c r="A62" s="286" t="s">
        <v>195</v>
      </c>
      <c r="B62" s="309"/>
      <c r="C62" s="310"/>
      <c r="D62" s="310"/>
      <c r="E62" s="310"/>
      <c r="F62" s="310"/>
      <c r="G62" s="310"/>
      <c r="H62" s="310"/>
      <c r="I62" s="310"/>
      <c r="J62" s="310"/>
      <c r="K62" s="310"/>
      <c r="L62" s="310"/>
      <c r="M62" s="310"/>
      <c r="N62" s="310"/>
      <c r="O62" s="310"/>
      <c r="P62" s="310"/>
      <c r="Q62" s="310"/>
      <c r="R62" s="310"/>
      <c r="S62" s="310"/>
      <c r="T62" s="310"/>
      <c r="U62" s="310"/>
      <c r="V62" s="310"/>
      <c r="W62" s="310"/>
      <c r="X62" s="310"/>
    </row>
    <row r="63" spans="1:24" s="21" customFormat="1" ht="30" customHeight="1">
      <c r="A63" s="286" t="s">
        <v>196</v>
      </c>
      <c r="B63" s="286"/>
      <c r="C63" s="287"/>
      <c r="D63" s="287"/>
      <c r="E63" s="287"/>
      <c r="F63" s="287"/>
      <c r="G63" s="287"/>
      <c r="H63" s="287"/>
      <c r="I63" s="287"/>
      <c r="J63" s="287"/>
      <c r="K63" s="287"/>
      <c r="L63" s="287"/>
      <c r="M63" s="287"/>
      <c r="N63" s="287"/>
      <c r="O63" s="287"/>
      <c r="P63" s="287"/>
      <c r="Q63" s="287"/>
      <c r="R63" s="287"/>
      <c r="S63" s="287"/>
      <c r="T63" s="287"/>
      <c r="U63" s="287"/>
      <c r="V63" s="287"/>
      <c r="W63" s="287"/>
      <c r="X63" s="287"/>
    </row>
    <row r="64" spans="1:24" s="21" customFormat="1" ht="12.75">
      <c r="A64" s="22"/>
      <c r="B64" s="22"/>
      <c r="F64" s="33"/>
      <c r="G64" s="34"/>
      <c r="H64" s="35"/>
      <c r="M64"/>
      <c r="N64"/>
      <c r="O64"/>
      <c r="P64"/>
      <c r="Q64"/>
      <c r="R64"/>
      <c r="S64"/>
      <c r="T64"/>
      <c r="U64"/>
      <c r="V64"/>
      <c r="W64"/>
      <c r="X64"/>
    </row>
    <row r="65" spans="1:24" s="21" customFormat="1" ht="12.75" customHeight="1">
      <c r="A65" s="284" t="s">
        <v>197</v>
      </c>
      <c r="B65" s="284"/>
      <c r="C65" s="285"/>
      <c r="D65" s="285"/>
      <c r="E65" s="285"/>
      <c r="F65" s="285"/>
      <c r="G65" s="285"/>
      <c r="H65" s="285"/>
      <c r="I65" s="285"/>
      <c r="J65" s="285"/>
      <c r="K65" s="285"/>
      <c r="L65" s="285"/>
      <c r="M65" s="285"/>
      <c r="N65" s="285"/>
      <c r="O65" s="285"/>
      <c r="P65" s="285"/>
      <c r="Q65" s="285"/>
      <c r="R65" s="285"/>
      <c r="S65" s="285"/>
      <c r="T65" s="285"/>
      <c r="U65" s="285"/>
      <c r="V65" s="285"/>
      <c r="W65" s="285"/>
      <c r="X65" s="285"/>
    </row>
    <row r="66" spans="1:24" s="21" customFormat="1" ht="12.75">
      <c r="A66" s="50"/>
      <c r="B66" s="50"/>
      <c r="C66" s="51"/>
      <c r="D66" s="51"/>
      <c r="E66" s="51"/>
      <c r="F66" s="51"/>
      <c r="G66" s="51"/>
      <c r="H66" s="51"/>
      <c r="I66" s="51"/>
      <c r="J66" s="51"/>
      <c r="K66" s="51"/>
      <c r="L66" s="51"/>
      <c r="M66" s="51"/>
      <c r="N66" s="51"/>
      <c r="O66" s="51"/>
      <c r="P66" s="51"/>
      <c r="Q66" s="51"/>
      <c r="R66" s="51"/>
      <c r="S66" s="51"/>
      <c r="T66" s="51"/>
      <c r="U66" s="51"/>
      <c r="V66" s="51"/>
      <c r="W66" s="51"/>
      <c r="X66" s="51"/>
    </row>
    <row r="67" spans="1:24" s="21" customFormat="1" ht="12.75" customHeight="1">
      <c r="A67" s="250" t="s">
        <v>198</v>
      </c>
      <c r="B67" s="250"/>
      <c r="C67" s="251"/>
      <c r="D67" s="251"/>
      <c r="E67" s="251"/>
      <c r="F67" s="251"/>
      <c r="G67" s="251"/>
      <c r="H67" s="251"/>
      <c r="I67" s="251"/>
      <c r="J67" s="251"/>
      <c r="K67" s="251"/>
      <c r="L67" s="251"/>
      <c r="M67" s="251"/>
      <c r="N67" s="251"/>
      <c r="O67" s="251"/>
      <c r="P67" s="251"/>
      <c r="Q67" s="251"/>
      <c r="R67" s="251"/>
      <c r="S67" s="251"/>
      <c r="T67" s="251"/>
      <c r="U67" s="251"/>
      <c r="V67" s="251"/>
      <c r="W67" s="251"/>
      <c r="X67" s="251"/>
    </row>
    <row r="68" spans="1:24" s="21" customFormat="1" ht="12.75">
      <c r="A68" s="250" t="s">
        <v>199</v>
      </c>
      <c r="B68" s="250"/>
      <c r="C68" s="251"/>
      <c r="D68" s="251"/>
      <c r="E68" s="251"/>
      <c r="F68" s="251"/>
      <c r="G68" s="251"/>
      <c r="H68" s="251"/>
      <c r="I68" s="251"/>
      <c r="J68" s="251"/>
      <c r="K68" s="251"/>
      <c r="L68" s="251"/>
      <c r="M68" s="251"/>
      <c r="N68" s="251"/>
      <c r="O68" s="251"/>
      <c r="P68" s="251"/>
      <c r="Q68" s="251"/>
      <c r="R68" s="251"/>
      <c r="S68" s="251"/>
      <c r="T68" s="251"/>
      <c r="U68" s="251"/>
      <c r="V68" s="251"/>
      <c r="W68" s="251"/>
      <c r="X68" s="251"/>
    </row>
    <row r="69" spans="1:24" s="21" customFormat="1" ht="12.75" customHeight="1">
      <c r="A69" s="250" t="s">
        <v>200</v>
      </c>
      <c r="B69" s="250"/>
      <c r="C69" s="251"/>
      <c r="D69" s="251"/>
      <c r="E69" s="251"/>
      <c r="F69" s="251"/>
      <c r="G69" s="251"/>
      <c r="H69" s="251"/>
      <c r="I69" s="251"/>
      <c r="J69" s="251"/>
      <c r="K69" s="251"/>
      <c r="L69" s="251"/>
      <c r="M69" s="251"/>
      <c r="N69" s="251"/>
      <c r="O69" s="251"/>
      <c r="P69" s="251"/>
      <c r="Q69" s="251"/>
      <c r="R69" s="251"/>
      <c r="S69" s="251"/>
      <c r="T69" s="251"/>
      <c r="U69" s="251"/>
      <c r="V69" s="251"/>
      <c r="W69" s="251"/>
      <c r="X69" s="251"/>
    </row>
    <row r="70" spans="1:24" s="21" customFormat="1" ht="12.75" customHeight="1">
      <c r="A70" s="250" t="s">
        <v>201</v>
      </c>
      <c r="B70" s="250"/>
      <c r="C70" s="251"/>
      <c r="D70" s="251"/>
      <c r="E70" s="251"/>
      <c r="F70" s="251"/>
      <c r="G70" s="251"/>
      <c r="H70" s="251"/>
      <c r="I70" s="251"/>
      <c r="J70" s="251"/>
      <c r="K70" s="251"/>
      <c r="L70" s="251"/>
      <c r="M70" s="251"/>
      <c r="N70" s="251"/>
      <c r="O70" s="251"/>
      <c r="P70" s="251"/>
      <c r="Q70" s="251"/>
      <c r="R70" s="251"/>
      <c r="S70" s="251"/>
      <c r="T70" s="251"/>
      <c r="U70" s="251"/>
      <c r="V70" s="251"/>
      <c r="W70" s="251"/>
      <c r="X70" s="251"/>
    </row>
    <row r="71" spans="1:24" s="21" customFormat="1" ht="12.75" customHeight="1">
      <c r="A71" s="250" t="s">
        <v>202</v>
      </c>
      <c r="B71" s="250"/>
      <c r="C71" s="251"/>
      <c r="D71" s="251"/>
      <c r="E71" s="251"/>
      <c r="F71" s="251"/>
      <c r="G71" s="251"/>
      <c r="H71" s="251"/>
      <c r="I71" s="251"/>
      <c r="J71" s="251"/>
      <c r="K71" s="251"/>
      <c r="L71" s="251"/>
      <c r="M71" s="251"/>
      <c r="N71" s="251"/>
      <c r="O71" s="251"/>
      <c r="P71" s="251"/>
      <c r="Q71" s="251"/>
      <c r="R71" s="251"/>
      <c r="S71" s="251"/>
      <c r="T71" s="251"/>
      <c r="U71" s="251"/>
      <c r="V71" s="251"/>
      <c r="W71" s="251"/>
      <c r="X71" s="251"/>
    </row>
    <row r="72" spans="1:24" s="21" customFormat="1" ht="12.75" customHeight="1">
      <c r="A72" s="250" t="s">
        <v>203</v>
      </c>
      <c r="B72" s="250"/>
      <c r="C72" s="251"/>
      <c r="D72" s="251"/>
      <c r="E72" s="251"/>
      <c r="F72" s="251"/>
      <c r="G72" s="251"/>
      <c r="H72" s="251"/>
      <c r="I72" s="251"/>
      <c r="J72" s="251"/>
      <c r="K72" s="251"/>
      <c r="L72" s="251"/>
      <c r="M72" s="251"/>
      <c r="N72" s="251"/>
      <c r="O72" s="251"/>
      <c r="P72" s="251"/>
      <c r="Q72" s="251"/>
      <c r="R72" s="251"/>
      <c r="S72" s="251"/>
      <c r="T72" s="251"/>
      <c r="U72" s="251"/>
      <c r="V72" s="251"/>
      <c r="W72" s="251"/>
      <c r="X72" s="251"/>
    </row>
    <row r="73" spans="1:8" s="21" customFormat="1" ht="12.75">
      <c r="A73" s="22"/>
      <c r="B73" s="22"/>
      <c r="F73" s="33"/>
      <c r="G73" s="34"/>
      <c r="H73" s="35"/>
    </row>
    <row r="74" spans="1:24" s="21" customFormat="1" ht="12.75" customHeight="1">
      <c r="A74" s="284" t="s">
        <v>204</v>
      </c>
      <c r="B74" s="284"/>
      <c r="C74" s="285"/>
      <c r="D74" s="285"/>
      <c r="E74" s="285"/>
      <c r="F74" s="285"/>
      <c r="G74" s="285"/>
      <c r="H74" s="285"/>
      <c r="I74" s="285"/>
      <c r="J74" s="285"/>
      <c r="K74" s="285"/>
      <c r="L74" s="285"/>
      <c r="M74" s="285"/>
      <c r="N74" s="285"/>
      <c r="O74" s="285"/>
      <c r="P74" s="285"/>
      <c r="Q74" s="285"/>
      <c r="R74" s="285"/>
      <c r="S74" s="285"/>
      <c r="T74" s="285"/>
      <c r="U74" s="285"/>
      <c r="V74" s="285"/>
      <c r="W74" s="285"/>
      <c r="X74" s="285"/>
    </row>
    <row r="75" spans="1:24" s="21" customFormat="1" ht="12.75">
      <c r="A75" s="50"/>
      <c r="B75" s="50"/>
      <c r="C75" s="51"/>
      <c r="D75" s="51"/>
      <c r="E75" s="51"/>
      <c r="F75" s="51"/>
      <c r="G75" s="51"/>
      <c r="H75" s="51"/>
      <c r="I75" s="51"/>
      <c r="J75" s="51"/>
      <c r="K75" s="51"/>
      <c r="L75" s="51"/>
      <c r="M75" s="51"/>
      <c r="N75" s="51"/>
      <c r="O75" s="51"/>
      <c r="P75" s="51"/>
      <c r="Q75" s="51"/>
      <c r="R75" s="51"/>
      <c r="S75" s="51"/>
      <c r="T75" s="51"/>
      <c r="U75" s="51"/>
      <c r="V75" s="51"/>
      <c r="W75" s="51"/>
      <c r="X75" s="51"/>
    </row>
    <row r="76" spans="1:24" s="21" customFormat="1" ht="12.75" customHeight="1">
      <c r="A76" s="250" t="s">
        <v>205</v>
      </c>
      <c r="B76" s="250"/>
      <c r="C76" s="251"/>
      <c r="D76" s="251"/>
      <c r="E76" s="251"/>
      <c r="F76" s="251"/>
      <c r="G76" s="251"/>
      <c r="H76" s="251"/>
      <c r="I76" s="251"/>
      <c r="J76" s="251"/>
      <c r="K76" s="251"/>
      <c r="L76" s="251"/>
      <c r="M76" s="251"/>
      <c r="N76" s="251"/>
      <c r="O76" s="251"/>
      <c r="P76" s="251"/>
      <c r="Q76" s="251"/>
      <c r="R76" s="251"/>
      <c r="S76" s="251"/>
      <c r="T76" s="251"/>
      <c r="U76" s="251"/>
      <c r="V76" s="251"/>
      <c r="W76" s="251"/>
      <c r="X76" s="251"/>
    </row>
    <row r="77" spans="1:24" s="21" customFormat="1" ht="26.1" customHeight="1">
      <c r="A77" s="261" t="s">
        <v>206</v>
      </c>
      <c r="B77" s="261"/>
      <c r="C77" s="262"/>
      <c r="D77" s="262"/>
      <c r="E77" s="262"/>
      <c r="F77" s="262"/>
      <c r="G77" s="262"/>
      <c r="H77" s="262"/>
      <c r="I77" s="262"/>
      <c r="J77" s="262"/>
      <c r="K77" s="262"/>
      <c r="L77" s="262"/>
      <c r="M77" s="262"/>
      <c r="N77" s="262"/>
      <c r="O77" s="262"/>
      <c r="P77" s="262"/>
      <c r="Q77" s="262"/>
      <c r="R77" s="262"/>
      <c r="S77" s="262"/>
      <c r="T77" s="262"/>
      <c r="U77" s="262"/>
      <c r="V77" s="262"/>
      <c r="W77" s="262"/>
      <c r="X77" s="262"/>
    </row>
    <row r="78" spans="1:24" s="21" customFormat="1" ht="12.75" customHeight="1">
      <c r="A78" s="250" t="s">
        <v>207</v>
      </c>
      <c r="B78" s="250"/>
      <c r="C78" s="251"/>
      <c r="D78" s="251"/>
      <c r="E78" s="251"/>
      <c r="F78" s="251"/>
      <c r="G78" s="251"/>
      <c r="H78" s="251"/>
      <c r="I78" s="251"/>
      <c r="J78" s="251"/>
      <c r="K78" s="251"/>
      <c r="L78" s="251"/>
      <c r="M78" s="251"/>
      <c r="N78" s="251"/>
      <c r="O78" s="251"/>
      <c r="P78" s="251"/>
      <c r="Q78" s="251"/>
      <c r="R78" s="251"/>
      <c r="S78" s="251"/>
      <c r="T78" s="251"/>
      <c r="U78" s="251"/>
      <c r="V78" s="251"/>
      <c r="W78" s="251"/>
      <c r="X78" s="251"/>
    </row>
    <row r="79" spans="1:24" s="21" customFormat="1" ht="25.5" customHeight="1">
      <c r="A79" s="250" t="s">
        <v>208</v>
      </c>
      <c r="B79" s="250"/>
      <c r="C79" s="251"/>
      <c r="D79" s="251"/>
      <c r="E79" s="251"/>
      <c r="F79" s="251"/>
      <c r="G79" s="251"/>
      <c r="H79" s="251"/>
      <c r="I79" s="251"/>
      <c r="J79" s="251"/>
      <c r="K79" s="251"/>
      <c r="L79" s="251"/>
      <c r="M79" s="251"/>
      <c r="N79" s="251"/>
      <c r="O79" s="251"/>
      <c r="P79" s="251"/>
      <c r="Q79" s="251"/>
      <c r="R79" s="251"/>
      <c r="S79" s="251"/>
      <c r="T79" s="251"/>
      <c r="U79" s="251"/>
      <c r="V79" s="251"/>
      <c r="W79" s="251"/>
      <c r="X79" s="251"/>
    </row>
    <row r="80" spans="1:24" s="21" customFormat="1" ht="12.75">
      <c r="A80" s="261" t="s">
        <v>209</v>
      </c>
      <c r="B80" s="261"/>
      <c r="C80" s="262"/>
      <c r="D80" s="262"/>
      <c r="E80" s="262"/>
      <c r="F80" s="262"/>
      <c r="G80" s="262"/>
      <c r="H80" s="262"/>
      <c r="I80" s="262"/>
      <c r="J80" s="262"/>
      <c r="K80" s="262"/>
      <c r="L80" s="262"/>
      <c r="M80" s="262"/>
      <c r="N80" s="262"/>
      <c r="O80" s="262"/>
      <c r="P80" s="262"/>
      <c r="Q80" s="262"/>
      <c r="R80" s="262"/>
      <c r="S80" s="262"/>
      <c r="T80" s="262"/>
      <c r="U80" s="262"/>
      <c r="V80" s="262"/>
      <c r="W80" s="262"/>
      <c r="X80" s="262"/>
    </row>
    <row r="81" spans="1:24" ht="12.75" customHeight="1">
      <c r="A81" s="250" t="s">
        <v>210</v>
      </c>
      <c r="B81" s="250"/>
      <c r="C81" s="251"/>
      <c r="D81" s="251"/>
      <c r="E81" s="251"/>
      <c r="F81" s="251"/>
      <c r="G81" s="251"/>
      <c r="H81" s="251"/>
      <c r="I81" s="251"/>
      <c r="J81" s="251"/>
      <c r="K81" s="251"/>
      <c r="L81" s="251"/>
      <c r="M81" s="251"/>
      <c r="N81" s="251"/>
      <c r="O81" s="251"/>
      <c r="P81" s="251"/>
      <c r="Q81" s="251"/>
      <c r="R81" s="251"/>
      <c r="S81" s="251"/>
      <c r="T81" s="251"/>
      <c r="U81" s="251"/>
      <c r="V81" s="251"/>
      <c r="W81" s="251"/>
      <c r="X81" s="251"/>
    </row>
    <row r="82" spans="1:24" ht="26.1" customHeight="1">
      <c r="A82" s="250" t="s">
        <v>211</v>
      </c>
      <c r="B82" s="250"/>
      <c r="C82" s="251"/>
      <c r="D82" s="251"/>
      <c r="E82" s="251"/>
      <c r="F82" s="251"/>
      <c r="G82" s="251"/>
      <c r="H82" s="251"/>
      <c r="I82" s="251"/>
      <c r="J82" s="251"/>
      <c r="K82" s="251"/>
      <c r="L82" s="251"/>
      <c r="M82" s="251"/>
      <c r="N82" s="251"/>
      <c r="O82" s="251"/>
      <c r="P82" s="251"/>
      <c r="Q82" s="251"/>
      <c r="R82" s="251"/>
      <c r="S82" s="251"/>
      <c r="T82" s="251"/>
      <c r="U82" s="251"/>
      <c r="V82" s="251"/>
      <c r="W82" s="251"/>
      <c r="X82" s="251"/>
    </row>
    <row r="83" spans="1:24" s="21" customFormat="1" ht="26.1" customHeight="1">
      <c r="A83" s="250" t="s">
        <v>212</v>
      </c>
      <c r="B83" s="250"/>
      <c r="C83" s="251"/>
      <c r="D83" s="251"/>
      <c r="E83" s="251"/>
      <c r="F83" s="251"/>
      <c r="G83" s="251"/>
      <c r="H83" s="251"/>
      <c r="I83" s="251"/>
      <c r="J83" s="251"/>
      <c r="K83" s="251"/>
      <c r="L83" s="251"/>
      <c r="M83" s="251"/>
      <c r="N83" s="251"/>
      <c r="O83" s="251"/>
      <c r="P83" s="251"/>
      <c r="Q83" s="251"/>
      <c r="R83" s="251"/>
      <c r="S83" s="251"/>
      <c r="T83" s="251"/>
      <c r="U83" s="251"/>
      <c r="V83" s="251"/>
      <c r="W83" s="251"/>
      <c r="X83" s="251"/>
    </row>
    <row r="84" spans="1:24" s="21" customFormat="1" ht="12.75" customHeight="1">
      <c r="A84" s="250" t="s">
        <v>213</v>
      </c>
      <c r="B84" s="250"/>
      <c r="C84" s="251"/>
      <c r="D84" s="251"/>
      <c r="E84" s="251"/>
      <c r="F84" s="251"/>
      <c r="G84" s="251"/>
      <c r="H84" s="251"/>
      <c r="I84" s="251"/>
      <c r="J84" s="251"/>
      <c r="K84" s="251"/>
      <c r="L84" s="251"/>
      <c r="M84" s="251"/>
      <c r="N84" s="251"/>
      <c r="O84" s="251"/>
      <c r="P84" s="251"/>
      <c r="Q84" s="251"/>
      <c r="R84" s="251"/>
      <c r="S84" s="251"/>
      <c r="T84" s="251"/>
      <c r="U84" s="251"/>
      <c r="V84" s="251"/>
      <c r="W84" s="251"/>
      <c r="X84" s="251"/>
    </row>
    <row r="85" spans="1:24" s="21" customFormat="1" ht="12.75">
      <c r="A85" s="250" t="s">
        <v>214</v>
      </c>
      <c r="B85" s="250"/>
      <c r="C85" s="251"/>
      <c r="D85" s="251"/>
      <c r="E85" s="251"/>
      <c r="F85" s="251"/>
      <c r="G85" s="251"/>
      <c r="H85" s="251"/>
      <c r="I85" s="251"/>
      <c r="J85" s="251"/>
      <c r="K85" s="251"/>
      <c r="L85" s="251"/>
      <c r="M85" s="251"/>
      <c r="N85" s="251"/>
      <c r="O85" s="251"/>
      <c r="P85" s="251"/>
      <c r="Q85" s="251"/>
      <c r="R85" s="251"/>
      <c r="S85" s="251"/>
      <c r="T85" s="251"/>
      <c r="U85" s="251"/>
      <c r="V85" s="251"/>
      <c r="W85" s="251"/>
      <c r="X85" s="251"/>
    </row>
    <row r="86" spans="1:24" ht="12.75" customHeight="1">
      <c r="A86" s="261" t="s">
        <v>215</v>
      </c>
      <c r="B86" s="261"/>
      <c r="C86" s="262"/>
      <c r="D86" s="262"/>
      <c r="E86" s="262"/>
      <c r="F86" s="262"/>
      <c r="G86" s="262"/>
      <c r="H86" s="262"/>
      <c r="I86" s="262"/>
      <c r="J86" s="262"/>
      <c r="K86" s="262"/>
      <c r="L86" s="262"/>
      <c r="M86" s="262"/>
      <c r="N86" s="262"/>
      <c r="O86" s="262"/>
      <c r="P86" s="262"/>
      <c r="Q86" s="262"/>
      <c r="R86" s="262"/>
      <c r="S86" s="262"/>
      <c r="T86" s="262"/>
      <c r="U86" s="262"/>
      <c r="V86" s="262"/>
      <c r="W86" s="262"/>
      <c r="X86" s="262"/>
    </row>
    <row r="87" spans="1:24" ht="12.75">
      <c r="A87" s="250" t="s">
        <v>216</v>
      </c>
      <c r="B87" s="250"/>
      <c r="C87" s="251"/>
      <c r="D87" s="251"/>
      <c r="E87" s="251"/>
      <c r="F87" s="251"/>
      <c r="G87" s="251"/>
      <c r="H87" s="251"/>
      <c r="I87" s="251"/>
      <c r="J87" s="251"/>
      <c r="K87" s="251"/>
      <c r="L87" s="251"/>
      <c r="M87" s="251"/>
      <c r="N87" s="251"/>
      <c r="O87" s="251"/>
      <c r="P87" s="251"/>
      <c r="Q87" s="251"/>
      <c r="R87" s="251"/>
      <c r="S87" s="251"/>
      <c r="T87" s="251"/>
      <c r="U87" s="251"/>
      <c r="V87" s="251"/>
      <c r="W87" s="251"/>
      <c r="X87" s="251"/>
    </row>
    <row r="88" spans="1:24" ht="12.75">
      <c r="A88" s="250" t="s">
        <v>217</v>
      </c>
      <c r="B88" s="250"/>
      <c r="C88" s="251"/>
      <c r="D88" s="251"/>
      <c r="E88" s="251"/>
      <c r="F88" s="251"/>
      <c r="G88" s="251"/>
      <c r="H88" s="251"/>
      <c r="I88" s="251"/>
      <c r="J88" s="251"/>
      <c r="K88" s="251"/>
      <c r="L88" s="251"/>
      <c r="M88" s="251"/>
      <c r="N88" s="251"/>
      <c r="O88" s="251"/>
      <c r="P88" s="251"/>
      <c r="Q88" s="251"/>
      <c r="R88" s="251"/>
      <c r="S88" s="251"/>
      <c r="T88" s="251"/>
      <c r="U88" s="251"/>
      <c r="V88" s="251"/>
      <c r="W88" s="251"/>
      <c r="X88" s="251"/>
    </row>
    <row r="90" spans="1:24" ht="12.75">
      <c r="A90" s="284" t="s">
        <v>218</v>
      </c>
      <c r="B90" s="284"/>
      <c r="C90" s="285"/>
      <c r="D90" s="285"/>
      <c r="E90" s="285"/>
      <c r="F90" s="285"/>
      <c r="G90" s="285"/>
      <c r="H90" s="285"/>
      <c r="I90" s="285"/>
      <c r="J90" s="285"/>
      <c r="K90" s="285"/>
      <c r="L90" s="285"/>
      <c r="M90" s="285"/>
      <c r="N90" s="285"/>
      <c r="O90" s="285"/>
      <c r="P90" s="285"/>
      <c r="Q90" s="285"/>
      <c r="R90" s="285"/>
      <c r="S90" s="285"/>
      <c r="T90" s="285"/>
      <c r="U90" s="285"/>
      <c r="V90" s="285"/>
      <c r="W90" s="285"/>
      <c r="X90" s="285"/>
    </row>
    <row r="91" spans="1:24" ht="12.75">
      <c r="A91" s="50"/>
      <c r="B91" s="50"/>
      <c r="C91" s="51"/>
      <c r="D91" s="51"/>
      <c r="E91" s="51"/>
      <c r="F91" s="51"/>
      <c r="G91" s="51"/>
      <c r="H91" s="51"/>
      <c r="I91" s="51"/>
      <c r="J91" s="51"/>
      <c r="K91" s="51"/>
      <c r="L91" s="51"/>
      <c r="M91" s="51"/>
      <c r="N91" s="51"/>
      <c r="O91" s="51"/>
      <c r="P91" s="51"/>
      <c r="Q91" s="51"/>
      <c r="R91" s="51"/>
      <c r="S91" s="51"/>
      <c r="T91" s="51"/>
      <c r="U91" s="51"/>
      <c r="V91" s="51"/>
      <c r="W91" s="51"/>
      <c r="X91" s="51"/>
    </row>
    <row r="92" spans="1:24" ht="12.75">
      <c r="A92" s="250" t="s">
        <v>219</v>
      </c>
      <c r="B92" s="250"/>
      <c r="C92" s="251"/>
      <c r="D92" s="251"/>
      <c r="E92" s="251"/>
      <c r="F92" s="251"/>
      <c r="G92" s="251"/>
      <c r="H92" s="251"/>
      <c r="I92" s="251"/>
      <c r="J92" s="251"/>
      <c r="K92" s="251"/>
      <c r="L92" s="251"/>
      <c r="M92" s="251"/>
      <c r="N92" s="251"/>
      <c r="O92" s="251"/>
      <c r="P92" s="251"/>
      <c r="Q92" s="251"/>
      <c r="R92" s="251"/>
      <c r="S92" s="251"/>
      <c r="T92" s="251"/>
      <c r="U92" s="251"/>
      <c r="V92" s="251"/>
      <c r="W92" s="251"/>
      <c r="X92" s="251"/>
    </row>
    <row r="93" spans="1:24" ht="12.75" customHeight="1">
      <c r="A93" s="261" t="s">
        <v>220</v>
      </c>
      <c r="B93" s="261"/>
      <c r="C93" s="262"/>
      <c r="D93" s="262"/>
      <c r="E93" s="262"/>
      <c r="F93" s="262"/>
      <c r="G93" s="262"/>
      <c r="H93" s="262"/>
      <c r="I93" s="262"/>
      <c r="J93" s="262"/>
      <c r="K93" s="262"/>
      <c r="L93" s="262"/>
      <c r="M93" s="262"/>
      <c r="N93" s="262"/>
      <c r="O93" s="262"/>
      <c r="P93" s="262"/>
      <c r="Q93" s="262"/>
      <c r="R93" s="262"/>
      <c r="S93" s="262"/>
      <c r="T93" s="262"/>
      <c r="U93" s="262"/>
      <c r="V93" s="262"/>
      <c r="W93" s="262"/>
      <c r="X93" s="262"/>
    </row>
    <row r="94" spans="1:24" ht="12.75" customHeight="1">
      <c r="A94" s="250" t="s">
        <v>221</v>
      </c>
      <c r="B94" s="250"/>
      <c r="C94" s="251"/>
      <c r="D94" s="251"/>
      <c r="E94" s="251"/>
      <c r="F94" s="251"/>
      <c r="G94" s="251"/>
      <c r="H94" s="251"/>
      <c r="I94" s="251"/>
      <c r="J94" s="251"/>
      <c r="K94" s="251"/>
      <c r="L94" s="251"/>
      <c r="M94" s="251"/>
      <c r="N94" s="251"/>
      <c r="O94" s="251"/>
      <c r="P94" s="251"/>
      <c r="Q94" s="251"/>
      <c r="R94" s="251"/>
      <c r="S94" s="251"/>
      <c r="T94" s="251"/>
      <c r="U94" s="251"/>
      <c r="V94" s="251"/>
      <c r="W94" s="251"/>
      <c r="X94" s="251"/>
    </row>
    <row r="95" spans="1:24" ht="12.75">
      <c r="A95" s="250" t="s">
        <v>222</v>
      </c>
      <c r="B95" s="250"/>
      <c r="C95" s="251"/>
      <c r="D95" s="251"/>
      <c r="E95" s="251"/>
      <c r="F95" s="251"/>
      <c r="G95" s="251"/>
      <c r="H95" s="251"/>
      <c r="I95" s="251"/>
      <c r="J95" s="251"/>
      <c r="K95" s="251"/>
      <c r="L95" s="251"/>
      <c r="M95" s="251"/>
      <c r="N95" s="251"/>
      <c r="O95" s="251"/>
      <c r="P95" s="251"/>
      <c r="Q95" s="251"/>
      <c r="R95" s="251"/>
      <c r="S95" s="251"/>
      <c r="T95" s="251"/>
      <c r="U95" s="251"/>
      <c r="V95" s="251"/>
      <c r="W95" s="251"/>
      <c r="X95" s="251"/>
    </row>
    <row r="96" spans="1:24" ht="12.75" customHeight="1">
      <c r="A96" s="261"/>
      <c r="B96" s="261"/>
      <c r="C96" s="262"/>
      <c r="D96" s="262"/>
      <c r="E96" s="262"/>
      <c r="F96" s="262"/>
      <c r="G96" s="262"/>
      <c r="H96" s="262"/>
      <c r="I96" s="262"/>
      <c r="J96" s="262"/>
      <c r="K96" s="262"/>
      <c r="L96" s="262"/>
      <c r="M96" s="262"/>
      <c r="N96" s="262"/>
      <c r="O96" s="262"/>
      <c r="P96" s="262"/>
      <c r="Q96" s="262"/>
      <c r="R96" s="262"/>
      <c r="S96" s="262"/>
      <c r="T96" s="262"/>
      <c r="U96" s="262"/>
      <c r="V96" s="262"/>
      <c r="W96" s="262"/>
      <c r="X96" s="262"/>
    </row>
    <row r="97" spans="1:24" ht="12.75">
      <c r="A97" s="284" t="s">
        <v>223</v>
      </c>
      <c r="B97" s="284"/>
      <c r="C97" s="285"/>
      <c r="D97" s="285"/>
      <c r="E97" s="285"/>
      <c r="F97" s="285"/>
      <c r="G97" s="285"/>
      <c r="H97" s="285"/>
      <c r="I97" s="285"/>
      <c r="J97" s="285"/>
      <c r="K97" s="285"/>
      <c r="L97" s="285"/>
      <c r="M97" s="285"/>
      <c r="N97" s="285"/>
      <c r="O97" s="285"/>
      <c r="P97" s="285"/>
      <c r="Q97" s="285"/>
      <c r="R97" s="285"/>
      <c r="S97" s="285"/>
      <c r="T97" s="285"/>
      <c r="U97" s="285"/>
      <c r="V97" s="285"/>
      <c r="W97" s="285"/>
      <c r="X97" s="285"/>
    </row>
    <row r="98" spans="1:24" ht="12.75" customHeight="1">
      <c r="A98" s="261"/>
      <c r="B98" s="261"/>
      <c r="C98" s="262"/>
      <c r="D98" s="262"/>
      <c r="E98" s="262"/>
      <c r="F98" s="262"/>
      <c r="G98" s="262"/>
      <c r="H98" s="262"/>
      <c r="I98" s="262"/>
      <c r="J98" s="262"/>
      <c r="K98" s="262"/>
      <c r="L98" s="262"/>
      <c r="M98" s="262"/>
      <c r="N98" s="262"/>
      <c r="O98" s="262"/>
      <c r="P98" s="262"/>
      <c r="Q98" s="262"/>
      <c r="R98" s="262"/>
      <c r="S98" s="262"/>
      <c r="T98" s="262"/>
      <c r="U98" s="262"/>
      <c r="V98" s="262"/>
      <c r="W98" s="262"/>
      <c r="X98" s="262"/>
    </row>
    <row r="99" spans="1:24" ht="12.75" customHeight="1">
      <c r="A99" s="250" t="s">
        <v>224</v>
      </c>
      <c r="B99" s="250"/>
      <c r="C99" s="251"/>
      <c r="D99" s="251"/>
      <c r="E99" s="251"/>
      <c r="F99" s="251"/>
      <c r="G99" s="251"/>
      <c r="H99" s="251"/>
      <c r="I99" s="251"/>
      <c r="J99" s="251"/>
      <c r="K99" s="251"/>
      <c r="L99" s="251"/>
      <c r="M99" s="251"/>
      <c r="N99" s="251"/>
      <c r="O99" s="251"/>
      <c r="P99" s="251"/>
      <c r="Q99" s="251"/>
      <c r="R99" s="251"/>
      <c r="S99" s="251"/>
      <c r="T99" s="251"/>
      <c r="U99" s="251"/>
      <c r="V99" s="251"/>
      <c r="W99" s="251"/>
      <c r="X99" s="251"/>
    </row>
    <row r="100" spans="1:24" ht="12.75" customHeight="1">
      <c r="A100" s="250" t="s">
        <v>225</v>
      </c>
      <c r="B100" s="250"/>
      <c r="C100" s="251"/>
      <c r="D100" s="251"/>
      <c r="E100" s="251"/>
      <c r="F100" s="251"/>
      <c r="G100" s="251"/>
      <c r="H100" s="251"/>
      <c r="I100" s="251"/>
      <c r="J100" s="251"/>
      <c r="K100" s="251"/>
      <c r="L100" s="251"/>
      <c r="M100" s="251"/>
      <c r="N100" s="251"/>
      <c r="O100" s="251"/>
      <c r="P100" s="251"/>
      <c r="Q100" s="251"/>
      <c r="R100" s="251"/>
      <c r="S100" s="251"/>
      <c r="T100" s="251"/>
      <c r="U100" s="251"/>
      <c r="V100" s="251"/>
      <c r="W100" s="251"/>
      <c r="X100" s="251"/>
    </row>
    <row r="101" spans="1:24" ht="12.75">
      <c r="A101" s="250" t="s">
        <v>226</v>
      </c>
      <c r="B101" s="250"/>
      <c r="C101" s="251"/>
      <c r="D101" s="251"/>
      <c r="E101" s="251"/>
      <c r="F101" s="251"/>
      <c r="G101" s="251"/>
      <c r="H101" s="251"/>
      <c r="I101" s="251"/>
      <c r="J101" s="251"/>
      <c r="K101" s="251"/>
      <c r="L101" s="251"/>
      <c r="M101" s="251"/>
      <c r="N101" s="251"/>
      <c r="O101" s="251"/>
      <c r="P101" s="251"/>
      <c r="Q101" s="251"/>
      <c r="R101" s="251"/>
      <c r="S101" s="251"/>
      <c r="T101" s="251"/>
      <c r="U101" s="251"/>
      <c r="V101" s="251"/>
      <c r="W101" s="251"/>
      <c r="X101" s="251"/>
    </row>
    <row r="102" spans="1:24" ht="12.75" customHeight="1">
      <c r="A102" s="26"/>
      <c r="B102" s="26"/>
      <c r="C102" s="32"/>
      <c r="D102" s="32"/>
      <c r="E102" s="32"/>
      <c r="F102" s="32"/>
      <c r="G102" s="32"/>
      <c r="H102" s="32"/>
      <c r="I102" s="32"/>
      <c r="J102" s="32"/>
      <c r="K102" s="32"/>
      <c r="L102" s="32"/>
      <c r="M102" s="32"/>
      <c r="N102" s="32"/>
      <c r="O102" s="32"/>
      <c r="P102" s="32"/>
      <c r="Q102" s="32"/>
      <c r="R102" s="32"/>
      <c r="S102" s="32"/>
      <c r="T102" s="32"/>
      <c r="U102" s="32"/>
      <c r="V102" s="32"/>
      <c r="W102" s="32"/>
      <c r="X102" s="32"/>
    </row>
    <row r="103" spans="1:24" ht="12.75" customHeight="1">
      <c r="A103" s="26"/>
      <c r="B103" s="26"/>
      <c r="C103" s="32"/>
      <c r="D103" s="32"/>
      <c r="E103" s="32"/>
      <c r="F103" s="32"/>
      <c r="G103" s="32"/>
      <c r="H103" s="32"/>
      <c r="I103" s="32"/>
      <c r="J103" s="32"/>
      <c r="K103" s="32"/>
      <c r="L103" s="32"/>
      <c r="M103" s="32"/>
      <c r="N103" s="32"/>
      <c r="O103" s="32"/>
      <c r="P103" s="32"/>
      <c r="Q103" s="32"/>
      <c r="R103" s="32"/>
      <c r="S103" s="32"/>
      <c r="T103" s="32"/>
      <c r="U103" s="32"/>
      <c r="V103" s="32"/>
      <c r="W103" s="32"/>
      <c r="X103" s="32"/>
    </row>
    <row r="104" spans="1:24" ht="12.75" customHeight="1">
      <c r="A104" s="26"/>
      <c r="B104" s="26"/>
      <c r="C104" s="32"/>
      <c r="D104" s="32"/>
      <c r="E104" s="32"/>
      <c r="F104" s="32"/>
      <c r="G104" s="32"/>
      <c r="H104" s="32"/>
      <c r="I104" s="32"/>
      <c r="J104" s="32"/>
      <c r="K104" s="32"/>
      <c r="L104" s="32"/>
      <c r="M104" s="32"/>
      <c r="N104" s="32"/>
      <c r="O104" s="32"/>
      <c r="P104" s="32"/>
      <c r="Q104" s="32"/>
      <c r="R104" s="32"/>
      <c r="S104" s="32"/>
      <c r="T104" s="32"/>
      <c r="U104" s="32"/>
      <c r="V104" s="32"/>
      <c r="W104" s="32"/>
      <c r="X104" s="32"/>
    </row>
    <row r="105" spans="1:24" ht="12.75" customHeight="1">
      <c r="A105" s="26"/>
      <c r="B105" s="26"/>
      <c r="C105" s="32"/>
      <c r="D105" s="32"/>
      <c r="E105" s="32"/>
      <c r="F105" s="32"/>
      <c r="G105" s="32"/>
      <c r="H105" s="32"/>
      <c r="I105" s="32"/>
      <c r="J105" s="32"/>
      <c r="K105" s="32"/>
      <c r="L105" s="32"/>
      <c r="M105" s="32"/>
      <c r="N105" s="32"/>
      <c r="O105" s="32"/>
      <c r="P105" s="32"/>
      <c r="Q105" s="32"/>
      <c r="R105" s="32"/>
      <c r="S105" s="32"/>
      <c r="T105" s="32"/>
      <c r="U105" s="32"/>
      <c r="V105" s="32"/>
      <c r="W105" s="32"/>
      <c r="X105" s="32"/>
    </row>
    <row r="106" ht="12.75" customHeight="1"/>
    <row r="107" spans="1:17" ht="12.75">
      <c r="A107"/>
      <c r="E107"/>
      <c r="F107"/>
      <c r="H107" s="38"/>
      <c r="L107" s="82" t="s">
        <v>131</v>
      </c>
      <c r="O107" s="82"/>
      <c r="P107" s="38"/>
      <c r="Q107" s="82"/>
    </row>
    <row r="108" spans="1:19" ht="12.75" customHeight="1">
      <c r="A108"/>
      <c r="E108"/>
      <c r="F108"/>
      <c r="G108" s="31"/>
      <c r="H108" s="31"/>
      <c r="L108" s="82" t="s">
        <v>132</v>
      </c>
      <c r="P108" s="31"/>
      <c r="S108" s="208">
        <f ca="1">T38</f>
        <v>0.2009</v>
      </c>
    </row>
    <row r="109" spans="1:19" ht="12.75">
      <c r="A109"/>
      <c r="E109"/>
      <c r="F109"/>
      <c r="G109" s="31"/>
      <c r="H109" s="31"/>
      <c r="L109" s="82" t="s">
        <v>133</v>
      </c>
      <c r="P109" s="31"/>
      <c r="S109" s="208" t="str">
        <f ca="1">U38</f>
        <v/>
      </c>
    </row>
    <row r="110" spans="1:19" ht="12.75" customHeight="1">
      <c r="A110"/>
      <c r="E110"/>
      <c r="F110"/>
      <c r="G110" s="31"/>
      <c r="H110" s="31"/>
      <c r="L110" s="82" t="s">
        <v>134</v>
      </c>
      <c r="P110" s="31"/>
      <c r="S110" s="208" t="str">
        <f ca="1">V38</f>
        <v/>
      </c>
    </row>
    <row r="111" spans="1:19" ht="12.75">
      <c r="A111"/>
      <c r="E111"/>
      <c r="F111"/>
      <c r="G111" s="31"/>
      <c r="H111" s="31"/>
      <c r="L111" s="82" t="s">
        <v>135</v>
      </c>
      <c r="P111" s="31"/>
      <c r="S111" s="208" t="str">
        <f ca="1">W38</f>
        <v/>
      </c>
    </row>
    <row r="112" spans="1:19" ht="12.75" customHeight="1">
      <c r="A112"/>
      <c r="E112"/>
      <c r="F112"/>
      <c r="G112" s="31"/>
      <c r="H112" s="31"/>
      <c r="L112" s="82" t="s">
        <v>136</v>
      </c>
      <c r="P112" s="31"/>
      <c r="S112" s="208" t="str">
        <f ca="1">X38</f>
        <v/>
      </c>
    </row>
    <row r="113" spans="1:12" ht="12.75">
      <c r="A113"/>
      <c r="H113" s="38"/>
      <c r="L113" s="82" t="s">
        <v>66</v>
      </c>
    </row>
    <row r="114" spans="1:12" ht="12.75" customHeight="1">
      <c r="A114"/>
      <c r="H114" s="38"/>
      <c r="L114" s="82" t="s">
        <v>67</v>
      </c>
    </row>
    <row r="115" spans="1:16" ht="12.75">
      <c r="A115"/>
      <c r="H115" s="38"/>
      <c r="L115" s="82" t="s">
        <v>68</v>
      </c>
      <c r="P115" s="1" t="s">
        <v>112</v>
      </c>
    </row>
    <row r="116" spans="1:16" ht="12.75">
      <c r="A116"/>
      <c r="H116" s="38"/>
      <c r="L116" s="82" t="s">
        <v>69</v>
      </c>
      <c r="P116" s="1" t="s">
        <v>113</v>
      </c>
    </row>
    <row r="117" spans="1:16" ht="12.75">
      <c r="A117"/>
      <c r="L117" s="82" t="s">
        <v>70</v>
      </c>
      <c r="P117" s="1" t="s">
        <v>114</v>
      </c>
    </row>
    <row r="118" spans="1:16" ht="12.75">
      <c r="A118"/>
      <c r="L118" s="82" t="s">
        <v>71</v>
      </c>
      <c r="P118" s="1" t="s">
        <v>94</v>
      </c>
    </row>
    <row r="119" spans="1:16" ht="12.75">
      <c r="A119"/>
      <c r="L119" s="82" t="s">
        <v>72</v>
      </c>
      <c r="P119" s="1" t="s">
        <v>95</v>
      </c>
    </row>
    <row r="120" spans="1:16" ht="12.75">
      <c r="A120"/>
      <c r="L120" s="82" t="s">
        <v>73</v>
      </c>
      <c r="P120" s="1" t="s">
        <v>96</v>
      </c>
    </row>
    <row r="121" spans="1:12" ht="12.75">
      <c r="A121"/>
      <c r="L121" s="82" t="s">
        <v>74</v>
      </c>
    </row>
    <row r="122" spans="1:16" ht="12.75">
      <c r="A122"/>
      <c r="L122" s="82" t="s">
        <v>75</v>
      </c>
      <c r="P122" s="94" t="s">
        <v>97</v>
      </c>
    </row>
    <row r="123" spans="1:16" ht="12.75">
      <c r="A123"/>
      <c r="L123" s="82" t="s">
        <v>76</v>
      </c>
      <c r="P123" s="94" t="s">
        <v>98</v>
      </c>
    </row>
    <row r="124" spans="1:12" ht="12.75">
      <c r="A124"/>
      <c r="L124" s="82" t="s">
        <v>77</v>
      </c>
    </row>
    <row r="125" spans="1:12" ht="12.75">
      <c r="A125"/>
      <c r="L125" s="82" t="s">
        <v>78</v>
      </c>
    </row>
    <row r="126" spans="1:12" ht="12.75">
      <c r="A126"/>
      <c r="L126" s="82" t="s">
        <v>79</v>
      </c>
    </row>
    <row r="127" spans="1:12" ht="12.75">
      <c r="A127"/>
      <c r="L127" s="82" t="s">
        <v>80</v>
      </c>
    </row>
    <row r="128" spans="1:12" ht="12.75">
      <c r="A128"/>
      <c r="L128" s="82" t="s">
        <v>81</v>
      </c>
    </row>
    <row r="129" spans="1:12" ht="12.75">
      <c r="A129"/>
      <c r="L129" s="82" t="s">
        <v>82</v>
      </c>
    </row>
    <row r="130" spans="1:12" ht="12.75">
      <c r="A130"/>
      <c r="L130" s="82" t="s">
        <v>83</v>
      </c>
    </row>
    <row r="131" spans="1:12" ht="12.75">
      <c r="A131"/>
      <c r="L131" s="82" t="s">
        <v>84</v>
      </c>
    </row>
    <row r="132" spans="1:12" ht="12.75">
      <c r="A132"/>
      <c r="L132" s="82" t="s">
        <v>65</v>
      </c>
    </row>
    <row r="133" spans="1:12" ht="12.75">
      <c r="A133"/>
      <c r="L133" s="82" t="s">
        <v>85</v>
      </c>
    </row>
    <row r="134" spans="1:12" ht="12.75">
      <c r="A134"/>
      <c r="L134" s="82" t="s">
        <v>86</v>
      </c>
    </row>
    <row r="135" ht="12.75">
      <c r="A135"/>
    </row>
    <row r="136" ht="12.75">
      <c r="A136"/>
    </row>
    <row r="137" ht="12.75">
      <c r="A137"/>
    </row>
    <row r="138" ht="12.75">
      <c r="A138"/>
    </row>
    <row r="139" ht="12.75">
      <c r="A139"/>
    </row>
    <row r="140" ht="12.75">
      <c r="A140"/>
    </row>
    <row r="141" ht="12.75">
      <c r="A141"/>
    </row>
    <row r="142" ht="12.75">
      <c r="A142"/>
    </row>
    <row r="143" ht="12.75">
      <c r="A143"/>
    </row>
    <row r="144" ht="12.75">
      <c r="A144"/>
    </row>
    <row r="145" ht="12.75">
      <c r="A145"/>
    </row>
    <row r="146" ht="12.75">
      <c r="A146"/>
    </row>
    <row r="147" ht="12.75">
      <c r="A147"/>
    </row>
    <row r="148" ht="12.75">
      <c r="A148"/>
    </row>
    <row r="149" ht="12.75">
      <c r="A149"/>
    </row>
    <row r="150" ht="12.75">
      <c r="A150"/>
    </row>
    <row r="151" ht="12.75">
      <c r="A151"/>
    </row>
    <row r="152" ht="12.75">
      <c r="A152"/>
    </row>
    <row r="153" ht="12.75">
      <c r="A153"/>
    </row>
    <row r="154" ht="12.75">
      <c r="A154"/>
    </row>
    <row r="155" ht="12.75">
      <c r="A155"/>
    </row>
    <row r="156" ht="12.75">
      <c r="A156"/>
    </row>
    <row r="157" ht="12.75">
      <c r="A157"/>
    </row>
    <row r="158" ht="12.75">
      <c r="A158"/>
    </row>
    <row r="159" ht="12.75">
      <c r="A159"/>
    </row>
    <row r="160" ht="12.75">
      <c r="A160"/>
    </row>
    <row r="161" ht="12.75">
      <c r="A161"/>
    </row>
    <row r="162" ht="12.75">
      <c r="A162"/>
    </row>
    <row r="163" ht="12.75">
      <c r="A163"/>
    </row>
    <row r="164" ht="12.75">
      <c r="A164"/>
    </row>
    <row r="165" ht="12.75">
      <c r="A165"/>
    </row>
    <row r="166" ht="12.75">
      <c r="A166"/>
    </row>
    <row r="167" ht="12.75">
      <c r="A167"/>
    </row>
    <row r="168" ht="12.75">
      <c r="A168"/>
    </row>
    <row r="169" ht="12.75">
      <c r="A169"/>
    </row>
    <row r="170" ht="12.75">
      <c r="A170"/>
    </row>
    <row r="171" ht="12.75">
      <c r="A171"/>
    </row>
    <row r="172" ht="12.75">
      <c r="A172"/>
    </row>
    <row r="173" ht="12.75">
      <c r="A173"/>
    </row>
    <row r="174" ht="12.75">
      <c r="A174"/>
    </row>
    <row r="175" ht="12.75">
      <c r="A175"/>
    </row>
    <row r="176" ht="12.75">
      <c r="A176"/>
    </row>
    <row r="177" ht="12.75">
      <c r="A177"/>
    </row>
    <row r="178" ht="12.75">
      <c r="A178"/>
    </row>
    <row r="179" ht="12.75">
      <c r="A179"/>
    </row>
    <row r="180" ht="12.75">
      <c r="A180"/>
    </row>
    <row r="219" ht="12.75" customHeight="1"/>
    <row r="220" spans="1:24" ht="12.75" customHeight="1">
      <c r="A220" s="236" t="str">
        <f>A28</f>
        <v>Nº OPERAÇÃO</v>
      </c>
      <c r="B220" s="238"/>
      <c r="C220" s="236" t="str">
        <f>C28</f>
        <v>GESTOR</v>
      </c>
      <c r="D220" s="237"/>
      <c r="E220" s="238"/>
      <c r="F220" s="236" t="str">
        <f>F28</f>
        <v>PROGRAMA</v>
      </c>
      <c r="G220" s="237"/>
      <c r="H220" s="237"/>
      <c r="I220" s="238"/>
      <c r="J220" s="236" t="str">
        <f>J28</f>
        <v>AÇÃO / MODALIDADE</v>
      </c>
      <c r="K220" s="237"/>
      <c r="L220" s="237"/>
      <c r="M220" s="237"/>
      <c r="N220" s="237"/>
      <c r="O220" s="238"/>
      <c r="P220" s="236" t="str">
        <f>P28</f>
        <v>OBJETO</v>
      </c>
      <c r="Q220" s="237"/>
      <c r="R220" s="237"/>
      <c r="S220" s="237"/>
      <c r="T220" s="237"/>
      <c r="U220" s="237"/>
      <c r="V220" s="237"/>
      <c r="W220" s="237"/>
      <c r="X220" s="238"/>
    </row>
    <row r="221" spans="1:24" ht="12.75" customHeight="1">
      <c r="A221" s="233" t="str">
        <f>IF(A29="","",A29)</f>
        <v/>
      </c>
      <c r="B221" s="235"/>
      <c r="C221" s="233" t="str">
        <f>IF(C29="","",C29)</f>
        <v/>
      </c>
      <c r="D221" s="234"/>
      <c r="E221" s="235"/>
      <c r="F221" s="233" t="str">
        <f>IF(F29="","",F29)</f>
        <v>Infraestrutura Urbana</v>
      </c>
      <c r="G221" s="234"/>
      <c r="H221" s="234"/>
      <c r="I221" s="235"/>
      <c r="J221" s="233" t="str">
        <f>IF(J29="","",J29)</f>
        <v/>
      </c>
      <c r="K221" s="234"/>
      <c r="L221" s="234" t="e">
        <f>IF(#REF!="","",#REF!)</f>
        <v>#REF!</v>
      </c>
      <c r="M221" s="234"/>
      <c r="N221" s="234" t="e">
        <f>IF(#REF!="","",#REF!)</f>
        <v>#REF!</v>
      </c>
      <c r="O221" s="235"/>
      <c r="P221" s="233" t="str">
        <f>IF(P29="","",P29)</f>
        <v>Pavimentação em Piso Intertravado de Vias Públicas</v>
      </c>
      <c r="Q221" s="234"/>
      <c r="R221" s="234"/>
      <c r="S221" s="234"/>
      <c r="T221" s="234"/>
      <c r="U221" s="234"/>
      <c r="V221" s="234"/>
      <c r="W221" s="234"/>
      <c r="X221" s="235"/>
    </row>
    <row r="222" spans="1:24" ht="6" customHeight="1">
      <c r="A222" s="2"/>
      <c r="B222" s="2"/>
      <c r="C222" s="2"/>
      <c r="D222" s="2"/>
      <c r="E222" s="2"/>
      <c r="F222" s="2"/>
      <c r="G222" s="2"/>
      <c r="H222" s="2"/>
      <c r="I222" s="2"/>
      <c r="J222" s="2"/>
      <c r="K222" s="2"/>
      <c r="L222" s="2"/>
      <c r="M222" s="2"/>
      <c r="N222" s="2"/>
      <c r="O222" s="2"/>
      <c r="P222" s="2"/>
      <c r="Q222" s="2"/>
      <c r="R222" s="2"/>
      <c r="S222" s="2"/>
      <c r="T222" s="2"/>
      <c r="U222" s="2"/>
      <c r="V222" s="2"/>
      <c r="W222" s="21"/>
      <c r="X222" s="21"/>
    </row>
    <row r="223" spans="1:24" ht="12.75">
      <c r="A223" s="236" t="str">
        <f>A31</f>
        <v>PROPONENTE / TOMADOR</v>
      </c>
      <c r="B223" s="237"/>
      <c r="C223" s="237"/>
      <c r="D223" s="237"/>
      <c r="E223" s="237"/>
      <c r="F223" s="237"/>
      <c r="G223" s="236" t="str">
        <f>G31</f>
        <v>MUNICÍPIO / UF</v>
      </c>
      <c r="H223" s="237"/>
      <c r="I223" s="237"/>
      <c r="J223" s="238"/>
      <c r="K223" s="236" t="str">
        <f>K31</f>
        <v>LOCALIDADE / ENDEREÇO</v>
      </c>
      <c r="L223" s="237"/>
      <c r="M223" s="237"/>
      <c r="N223" s="237"/>
      <c r="O223" s="237"/>
      <c r="P223" s="238"/>
      <c r="Q223" s="236" t="str">
        <f>Q31</f>
        <v>APELIDO DO EMPREENDIMENTO</v>
      </c>
      <c r="R223" s="237"/>
      <c r="S223" s="237"/>
      <c r="T223" s="237"/>
      <c r="U223" s="237"/>
      <c r="V223" s="237"/>
      <c r="W223" s="237"/>
      <c r="X223" s="238"/>
    </row>
    <row r="224" spans="1:24" ht="12.75" customHeight="1">
      <c r="A224" s="270" t="str">
        <f>IF(A32="","",A32)</f>
        <v>Município de Fontoura Xavier</v>
      </c>
      <c r="B224" s="271"/>
      <c r="C224" s="271"/>
      <c r="D224" s="271"/>
      <c r="E224" s="271"/>
      <c r="F224" s="271"/>
      <c r="G224" s="233" t="str">
        <f>IF(G32="","",G32)</f>
        <v>Fontoura Xavier /RS</v>
      </c>
      <c r="H224" s="234" t="str">
        <f>IF(I32="","",I32)</f>
        <v/>
      </c>
      <c r="I224" s="234"/>
      <c r="J224" s="235" t="e">
        <f>IF(#REF!="","",#REF!)</f>
        <v>#REF!</v>
      </c>
      <c r="K224" s="233" t="str">
        <f>IF(K32="","",K32)</f>
        <v>Trecho da Rua Lindolfo José da Rosa, Trecho da Rua Aristóteles Borges e Trecho da Rua Natal Taffarel.</v>
      </c>
      <c r="L224" s="234"/>
      <c r="M224" s="234"/>
      <c r="N224" s="234"/>
      <c r="O224" s="234"/>
      <c r="P224" s="235"/>
      <c r="Q224" s="233" t="str">
        <f>IF(Q32="","",Q32)</f>
        <v xml:space="preserve">Pavimentação em Trechos de Vias Urbanas </v>
      </c>
      <c r="R224" s="234"/>
      <c r="S224" s="234"/>
      <c r="T224" s="234"/>
      <c r="U224" s="234"/>
      <c r="V224" s="234"/>
      <c r="W224" s="234"/>
      <c r="X224" s="235"/>
    </row>
    <row r="225" spans="1:24" ht="6" customHeight="1">
      <c r="A225" s="2"/>
      <c r="B225" s="2"/>
      <c r="C225" s="2"/>
      <c r="D225" s="2"/>
      <c r="E225" s="2"/>
      <c r="F225" s="2"/>
      <c r="G225" s="2"/>
      <c r="H225" s="2"/>
      <c r="I225" s="2"/>
      <c r="J225" s="2"/>
      <c r="K225" s="2"/>
      <c r="L225" s="2"/>
      <c r="M225" s="2"/>
      <c r="N225" s="2"/>
      <c r="O225" s="2"/>
      <c r="P225" s="2"/>
      <c r="Q225" s="2"/>
      <c r="R225" s="2"/>
      <c r="S225" s="2"/>
      <c r="T225" s="2"/>
      <c r="U225" s="2"/>
      <c r="V225" s="2"/>
      <c r="W225" s="21"/>
      <c r="X225" s="21"/>
    </row>
    <row r="226" spans="1:24" ht="12.75">
      <c r="A226" s="236" t="str">
        <f>A37</f>
        <v>DATA BASE</v>
      </c>
      <c r="B226" s="238"/>
      <c r="C226" s="135" t="str">
        <f>C37</f>
        <v>DESON.</v>
      </c>
      <c r="D226" s="236" t="str">
        <f>D37</f>
        <v>LOCALIDADE DO SINAPI</v>
      </c>
      <c r="E226" s="237"/>
      <c r="F226" s="238"/>
      <c r="G226" s="236" t="str">
        <f>G37</f>
        <v>DESCRIÇÃO DO LOTE</v>
      </c>
      <c r="H226" s="237"/>
      <c r="I226" s="237"/>
      <c r="J226" s="237"/>
      <c r="K226" s="237"/>
      <c r="L226" s="237"/>
      <c r="M226" s="237"/>
      <c r="N226" s="237"/>
      <c r="O226" s="237"/>
      <c r="P226" s="237"/>
      <c r="Q226" s="237"/>
      <c r="R226" s="237"/>
      <c r="S226" s="238"/>
      <c r="T226" s="136" t="str">
        <f>T37</f>
        <v>BDI 1</v>
      </c>
      <c r="U226" s="136" t="str">
        <f>U37</f>
        <v>BDI 2</v>
      </c>
      <c r="V226" s="136" t="str">
        <f>V37</f>
        <v>BDI 3</v>
      </c>
      <c r="W226" s="136" t="str">
        <f>W37</f>
        <v>BDI 4</v>
      </c>
      <c r="X226" s="136" t="str">
        <f>X37</f>
        <v>BDI 5</v>
      </c>
    </row>
    <row r="227" spans="1:24" ht="12.75" customHeight="1">
      <c r="A227" s="276">
        <f>IF(A38="","",A38)</f>
        <v>45017</v>
      </c>
      <c r="B227" s="277"/>
      <c r="C227" s="137" t="str">
        <f aca="true" t="shared" si="0" ref="C227:X227">IF(C38="","",C38)</f>
        <v>Não</v>
      </c>
      <c r="D227" s="263" t="str">
        <f t="shared" si="0"/>
        <v>Porto Alegre / RS</v>
      </c>
      <c r="E227" s="267" t="str">
        <f t="shared" si="0"/>
        <v/>
      </c>
      <c r="F227" s="264" t="str">
        <f t="shared" si="0"/>
        <v/>
      </c>
      <c r="G227" s="263" t="str">
        <f t="shared" si="0"/>
        <v xml:space="preserve">Trechos de Vias Públicas de Área Urbana </v>
      </c>
      <c r="H227" s="267" t="str">
        <f t="shared" si="0"/>
        <v/>
      </c>
      <c r="I227" s="267" t="str">
        <f t="shared" si="0"/>
        <v/>
      </c>
      <c r="J227" s="267" t="str">
        <f t="shared" si="0"/>
        <v/>
      </c>
      <c r="K227" s="267" t="str">
        <f t="shared" si="0"/>
        <v/>
      </c>
      <c r="L227" s="267" t="str">
        <f t="shared" si="0"/>
        <v/>
      </c>
      <c r="M227" s="267" t="str">
        <f t="shared" si="0"/>
        <v/>
      </c>
      <c r="N227" s="267" t="str">
        <f t="shared" si="0"/>
        <v/>
      </c>
      <c r="O227" s="267" t="str">
        <f t="shared" si="0"/>
        <v/>
      </c>
      <c r="P227" s="267" t="str">
        <f t="shared" si="0"/>
        <v/>
      </c>
      <c r="Q227" s="267" t="str">
        <f t="shared" si="0"/>
        <v/>
      </c>
      <c r="R227" s="267" t="str">
        <f t="shared" si="0"/>
        <v/>
      </c>
      <c r="S227" s="264" t="str">
        <f t="shared" si="0"/>
        <v/>
      </c>
      <c r="T227" s="139">
        <f ca="1" t="shared" si="0"/>
        <v>0.2009</v>
      </c>
      <c r="U227" s="96" t="str">
        <f ca="1" t="shared" si="0"/>
        <v/>
      </c>
      <c r="V227" s="96" t="str">
        <f ca="1" t="shared" si="0"/>
        <v/>
      </c>
      <c r="W227" s="96" t="str">
        <f ca="1" t="shared" si="0"/>
        <v/>
      </c>
      <c r="X227" s="96" t="str">
        <f ca="1" t="shared" si="0"/>
        <v/>
      </c>
    </row>
    <row r="228" spans="1:24" ht="6" customHeight="1" hidden="1">
      <c r="A228" s="2"/>
      <c r="B228" s="2"/>
      <c r="C228" s="2"/>
      <c r="D228" s="2"/>
      <c r="E228" s="2"/>
      <c r="F228" s="2"/>
      <c r="G228" s="2"/>
      <c r="H228" s="2"/>
      <c r="I228" s="2"/>
      <c r="J228" s="2"/>
      <c r="K228" s="2"/>
      <c r="L228" s="2"/>
      <c r="M228" s="2"/>
      <c r="N228" s="2"/>
      <c r="O228" s="2"/>
      <c r="P228" s="2"/>
      <c r="Q228" s="2"/>
      <c r="R228" s="2"/>
      <c r="S228" s="2"/>
      <c r="T228" s="2"/>
      <c r="U228" s="2"/>
      <c r="V228" s="2"/>
      <c r="W228" s="21"/>
      <c r="X228" s="21"/>
    </row>
    <row r="229" spans="1:24" ht="12.75" customHeight="1" hidden="1">
      <c r="A229" s="236" t="s">
        <v>87</v>
      </c>
      <c r="B229" s="238"/>
      <c r="C229" s="236" t="s">
        <v>162</v>
      </c>
      <c r="D229" s="237"/>
      <c r="E229" s="237"/>
      <c r="F229" s="237"/>
      <c r="G229" s="237"/>
      <c r="H229" s="236" t="s">
        <v>16</v>
      </c>
      <c r="I229" s="237"/>
      <c r="J229" s="134" t="s">
        <v>91</v>
      </c>
      <c r="K229" s="236" t="s">
        <v>88</v>
      </c>
      <c r="L229" s="237"/>
      <c r="M229" s="238"/>
      <c r="N229" s="134" t="s">
        <v>92</v>
      </c>
      <c r="O229" s="236" t="s">
        <v>93</v>
      </c>
      <c r="P229" s="237"/>
      <c r="Q229" s="237"/>
      <c r="R229" s="237"/>
      <c r="S229" s="237"/>
      <c r="T229" s="238"/>
      <c r="U229" s="272" t="s">
        <v>89</v>
      </c>
      <c r="V229" s="273"/>
      <c r="W229" s="272" t="s">
        <v>90</v>
      </c>
      <c r="X229" s="273"/>
    </row>
    <row r="230" spans="1:24" s="21" customFormat="1" ht="12.75" customHeight="1" hidden="1">
      <c r="A230" s="263" t="str">
        <f>IF(A43="","",A43)</f>
        <v/>
      </c>
      <c r="B230" s="264"/>
      <c r="C230" s="263" t="str">
        <f>IF(C43="","",C43)</f>
        <v/>
      </c>
      <c r="D230" s="267"/>
      <c r="E230" s="267" t="str">
        <f>IF(E43="","",E43)</f>
        <v/>
      </c>
      <c r="F230" s="267"/>
      <c r="G230" s="267" t="str">
        <f>IF(G43="","",G43)</f>
        <v/>
      </c>
      <c r="H230" s="268" t="str">
        <f>IF(H43="","",H43)</f>
        <v/>
      </c>
      <c r="I230" s="269" t="str">
        <f>IF(I43="","",I43)</f>
        <v/>
      </c>
      <c r="J230" s="138" t="str">
        <f>IF(J43="","",J43)</f>
        <v/>
      </c>
      <c r="K230" s="255" t="str">
        <f>IF(K43="","",K43)</f>
        <v/>
      </c>
      <c r="L230" s="257"/>
      <c r="M230" s="258" t="str">
        <f>IF(M43="","",M43)</f>
        <v/>
      </c>
      <c r="N230" s="140" t="str">
        <f>IF(N43="","",N43)</f>
        <v/>
      </c>
      <c r="O230" s="255" t="str">
        <f>IF(O43="","",O43)</f>
        <v/>
      </c>
      <c r="P230" s="256"/>
      <c r="Q230" s="256" t="str">
        <f>IF(Q43="","",Q43)</f>
        <v/>
      </c>
      <c r="R230" s="257"/>
      <c r="S230" s="257" t="str">
        <f>IF(S43="","",S43)</f>
        <v/>
      </c>
      <c r="T230" s="258"/>
      <c r="U230" s="265" t="str">
        <f>IF(U43="","",U43)</f>
        <v/>
      </c>
      <c r="V230" s="266"/>
      <c r="W230" s="259" t="str">
        <f>IF(W43="","",W43)</f>
        <v/>
      </c>
      <c r="X230" s="260"/>
    </row>
    <row r="231" spans="1:24" ht="12.75">
      <c r="A231" s="22"/>
      <c r="B231" s="22"/>
      <c r="C231" s="21"/>
      <c r="D231" s="21"/>
      <c r="E231" s="21"/>
      <c r="F231" s="23"/>
      <c r="G231" s="23"/>
      <c r="H231" s="23"/>
      <c r="I231" s="21"/>
      <c r="J231" s="21"/>
      <c r="K231" s="21"/>
      <c r="L231" s="21"/>
      <c r="M231" s="21"/>
      <c r="N231" s="21"/>
      <c r="O231" s="21"/>
      <c r="P231" s="21"/>
      <c r="Q231" s="21"/>
      <c r="R231" s="21"/>
      <c r="S231" s="21"/>
      <c r="T231" s="21"/>
      <c r="U231" s="21"/>
      <c r="V231" s="21"/>
      <c r="W231" s="21"/>
      <c r="X231" s="21"/>
    </row>
    <row r="232" spans="1:8" ht="6" customHeight="1">
      <c r="A232" s="1"/>
      <c r="B232" s="1"/>
      <c r="F232" s="1"/>
      <c r="G232" s="1"/>
      <c r="H232" s="1"/>
    </row>
    <row r="233" spans="1:8" ht="12.75">
      <c r="A233" s="1"/>
      <c r="B233" s="1"/>
      <c r="F233" s="1"/>
      <c r="G233" s="1"/>
      <c r="H233" s="1"/>
    </row>
    <row r="234" spans="1:8" ht="12.75">
      <c r="A234" s="1"/>
      <c r="B234" s="1"/>
      <c r="F234" s="1"/>
      <c r="G234" s="1"/>
      <c r="H234" s="1"/>
    </row>
    <row r="235" spans="1:8" ht="12.75">
      <c r="A235" s="1"/>
      <c r="B235" s="1"/>
      <c r="F235" s="1"/>
      <c r="G235" s="1"/>
      <c r="H235" s="1"/>
    </row>
    <row r="236" spans="1:8" ht="12.75" customHeight="1" hidden="1">
      <c r="A236" s="1"/>
      <c r="B236" s="1"/>
      <c r="F236" s="1"/>
      <c r="G236" s="1"/>
      <c r="H236" s="1"/>
    </row>
    <row r="237" spans="1:8" ht="6" customHeight="1" hidden="1">
      <c r="A237" s="1"/>
      <c r="B237" s="1"/>
      <c r="F237" s="1"/>
      <c r="G237" s="1"/>
      <c r="H237" s="1"/>
    </row>
    <row r="238" spans="1:8" ht="12.75" customHeight="1" hidden="1">
      <c r="A238" s="1"/>
      <c r="B238" s="1"/>
      <c r="F238" s="1"/>
      <c r="G238" s="1"/>
      <c r="H238" s="1"/>
    </row>
    <row r="239" spans="1:8" ht="12.75" customHeight="1" hidden="1">
      <c r="A239" s="1"/>
      <c r="B239" s="1"/>
      <c r="F239" s="1"/>
      <c r="G239" s="1"/>
      <c r="H239" s="1"/>
    </row>
    <row r="240" spans="1:8" ht="6" customHeight="1" hidden="1">
      <c r="A240" s="1"/>
      <c r="B240" s="1"/>
      <c r="F240" s="1"/>
      <c r="G240" s="1"/>
      <c r="H240" s="1"/>
    </row>
    <row r="241" s="1" customFormat="1" ht="12.75" customHeight="1" hidden="1"/>
    <row r="242" s="1" customFormat="1" ht="12.75" customHeight="1" hidden="1"/>
    <row r="243" s="1" customFormat="1" ht="12.75" customHeight="1" hidden="1"/>
    <row r="244" s="1" customFormat="1" ht="12.75" customHeight="1"/>
    <row r="245" s="1" customFormat="1" ht="6" customHeight="1"/>
    <row r="246" s="1" customFormat="1" ht="12.75" customHeight="1"/>
    <row r="247" s="1" customFormat="1" ht="12.75" customHeight="1"/>
    <row r="248" s="1" customFormat="1" ht="12.75" customHeight="1"/>
    <row r="249" s="1" customFormat="1" ht="12.75" customHeight="1"/>
    <row r="250" s="1" customFormat="1" ht="6" customHeight="1"/>
    <row r="251" s="1" customFormat="1" ht="12.75"/>
    <row r="252" s="1" customFormat="1" ht="12.75"/>
    <row r="253" s="1" customFormat="1" ht="12.75"/>
    <row r="254" s="1" customFormat="1" ht="12.75"/>
    <row r="255" s="1" customFormat="1" ht="12.75"/>
    <row r="256" s="1" customFormat="1" ht="12.75"/>
    <row r="257" s="1" customFormat="1" ht="12.75"/>
  </sheetData>
  <sheetProtection algorithmName="SHA-512" hashValue="I8g+cQ/JokVqopHXg04q3tJow6WHcdD9SjYVcrbcDLq4s7OITXnof0zWlMBiyMDqBDCQvziDhCvWhiEI2rF/9g==" saltValue="Mbk4K19ogz5yNhvUvB/dMA==" spinCount="100000" sheet="1" objects="1" scenarios="1"/>
  <mergeCells count="136">
    <mergeCell ref="G38:S38"/>
    <mergeCell ref="A86:X86"/>
    <mergeCell ref="D38:F38"/>
    <mergeCell ref="C42:G42"/>
    <mergeCell ref="A68:X68"/>
    <mergeCell ref="A78:X78"/>
    <mergeCell ref="A71:X71"/>
    <mergeCell ref="A72:X72"/>
    <mergeCell ref="A16:X16"/>
    <mergeCell ref="A18:X18"/>
    <mergeCell ref="A22:I22"/>
    <mergeCell ref="A76:X76"/>
    <mergeCell ref="A84:X84"/>
    <mergeCell ref="A77:X77"/>
    <mergeCell ref="A79:X79"/>
    <mergeCell ref="A82:X82"/>
    <mergeCell ref="J220:O220"/>
    <mergeCell ref="A99:X99"/>
    <mergeCell ref="A98:X98"/>
    <mergeCell ref="A97:X97"/>
    <mergeCell ref="A26:X26"/>
    <mergeCell ref="A28:B28"/>
    <mergeCell ref="A29:B29"/>
    <mergeCell ref="A69:X69"/>
    <mergeCell ref="A60:X60"/>
    <mergeCell ref="A62:X62"/>
    <mergeCell ref="A101:X101"/>
    <mergeCell ref="A95:X95"/>
    <mergeCell ref="A96:X96"/>
    <mergeCell ref="A38:B38"/>
    <mergeCell ref="U42:V42"/>
    <mergeCell ref="A70:X70"/>
    <mergeCell ref="A40:X40"/>
    <mergeCell ref="A100:X100"/>
    <mergeCell ref="A74:X74"/>
    <mergeCell ref="A81:X81"/>
    <mergeCell ref="A90:X90"/>
    <mergeCell ref="A93:X93"/>
    <mergeCell ref="A94:X94"/>
    <mergeCell ref="A92:X92"/>
    <mergeCell ref="B1:X2"/>
    <mergeCell ref="H56:K56"/>
    <mergeCell ref="W42:X42"/>
    <mergeCell ref="A37:B37"/>
    <mergeCell ref="A42:B42"/>
    <mergeCell ref="W43:X43"/>
    <mergeCell ref="O43:T43"/>
    <mergeCell ref="C43:G43"/>
    <mergeCell ref="K42:M42"/>
    <mergeCell ref="U43:V43"/>
    <mergeCell ref="A35:X35"/>
    <mergeCell ref="G37:S37"/>
    <mergeCell ref="D37:F37"/>
    <mergeCell ref="A4:X4"/>
    <mergeCell ref="A6:X6"/>
    <mergeCell ref="A8:X8"/>
    <mergeCell ref="A24:X24"/>
    <mergeCell ref="A14:X14"/>
    <mergeCell ref="A10:X10"/>
    <mergeCell ref="A12:X12"/>
    <mergeCell ref="H42:I42"/>
    <mergeCell ref="B56:E56"/>
    <mergeCell ref="O42:T42"/>
    <mergeCell ref="A43:B43"/>
    <mergeCell ref="A224:F224"/>
    <mergeCell ref="G224:J224"/>
    <mergeCell ref="G223:J223"/>
    <mergeCell ref="C220:E220"/>
    <mergeCell ref="A87:X87"/>
    <mergeCell ref="W229:X229"/>
    <mergeCell ref="U229:V229"/>
    <mergeCell ref="H43:I43"/>
    <mergeCell ref="A227:B227"/>
    <mergeCell ref="G226:S226"/>
    <mergeCell ref="A226:B226"/>
    <mergeCell ref="A220:B220"/>
    <mergeCell ref="D227:F227"/>
    <mergeCell ref="A48:C48"/>
    <mergeCell ref="H57:K57"/>
    <mergeCell ref="B54:E54"/>
    <mergeCell ref="A65:X65"/>
    <mergeCell ref="H55:K55"/>
    <mergeCell ref="A45:X45"/>
    <mergeCell ref="A63:X63"/>
    <mergeCell ref="A50:X50"/>
    <mergeCell ref="B55:E55"/>
    <mergeCell ref="B57:E57"/>
    <mergeCell ref="H54:K54"/>
    <mergeCell ref="O230:T230"/>
    <mergeCell ref="H229:I229"/>
    <mergeCell ref="K229:M229"/>
    <mergeCell ref="O229:T229"/>
    <mergeCell ref="W230:X230"/>
    <mergeCell ref="Q224:X224"/>
    <mergeCell ref="K223:P223"/>
    <mergeCell ref="A80:X80"/>
    <mergeCell ref="A83:X83"/>
    <mergeCell ref="A230:B230"/>
    <mergeCell ref="U230:V230"/>
    <mergeCell ref="K230:M230"/>
    <mergeCell ref="J221:O221"/>
    <mergeCell ref="G227:S227"/>
    <mergeCell ref="A229:B229"/>
    <mergeCell ref="C229:G229"/>
    <mergeCell ref="C230:G230"/>
    <mergeCell ref="H230:I230"/>
    <mergeCell ref="K224:P224"/>
    <mergeCell ref="Q223:X223"/>
    <mergeCell ref="D226:F226"/>
    <mergeCell ref="A85:X85"/>
    <mergeCell ref="A221:B221"/>
    <mergeCell ref="A223:F223"/>
    <mergeCell ref="C221:E221"/>
    <mergeCell ref="F220:I220"/>
    <mergeCell ref="F221:I221"/>
    <mergeCell ref="P220:X220"/>
    <mergeCell ref="P221:X221"/>
    <mergeCell ref="J28:O28"/>
    <mergeCell ref="G32:J32"/>
    <mergeCell ref="K31:P31"/>
    <mergeCell ref="K32:P32"/>
    <mergeCell ref="P28:X28"/>
    <mergeCell ref="Q31:X31"/>
    <mergeCell ref="Q32:X32"/>
    <mergeCell ref="A31:F31"/>
    <mergeCell ref="C28:E28"/>
    <mergeCell ref="C29:E29"/>
    <mergeCell ref="F28:I28"/>
    <mergeCell ref="F29:I29"/>
    <mergeCell ref="A32:F32"/>
    <mergeCell ref="G31:J31"/>
    <mergeCell ref="P29:X29"/>
    <mergeCell ref="J29:O29"/>
    <mergeCell ref="A67:X67"/>
    <mergeCell ref="A88:X88"/>
    <mergeCell ref="K43:M43"/>
  </mergeCells>
  <conditionalFormatting sqref="B54:E55 B56 B57:E57">
    <cfRule type="expression" priority="42" dxfId="115" stopIfTrue="1">
      <formula>$B54&lt;&gt;""</formula>
    </cfRule>
  </conditionalFormatting>
  <conditionalFormatting sqref="A48 H54:K54 H55:H56 H57:K57 A29:C29 J29 F29 A32 P29 G32 K32">
    <cfRule type="expression" priority="48" dxfId="115" stopIfTrue="1">
      <formula>A29&lt;&gt;""</formula>
    </cfRule>
  </conditionalFormatting>
  <conditionalFormatting sqref="G53:K54 G55:H56 G57:K57">
    <cfRule type="expression" priority="43" dxfId="271" stopIfTrue="1">
      <formula>$K$52&lt;&gt;"SIM"</formula>
    </cfRule>
  </conditionalFormatting>
  <conditionalFormatting sqref="A40:X43">
    <cfRule type="expression" priority="56" dxfId="86" stopIfTrue="1">
      <formula>OR(TipoOrçamento="BASE",TipoOrçamento="REPROGRAMADONPL")</formula>
    </cfRule>
    <cfRule type="expression" priority="57" dxfId="115" stopIfTrue="1">
      <formula>A40&lt;&gt;""</formula>
    </cfRule>
  </conditionalFormatting>
  <conditionalFormatting sqref="A35:X38">
    <cfRule type="expression" priority="58" dxfId="86" stopIfTrue="1">
      <formula>OR(TipoOrçamento="LICITADO",TipoOrçamento="REPROGRAMADOAC")</formula>
    </cfRule>
    <cfRule type="expression" priority="59" dxfId="115" stopIfTrue="1">
      <formula>A35&lt;&gt;""</formula>
    </cfRule>
  </conditionalFormatting>
  <conditionalFormatting sqref="Q32">
    <cfRule type="expression" priority="1" dxfId="115" stopIfTrue="1">
      <formula>Q32&lt;&gt;""</formula>
    </cfRule>
  </conditionalFormatting>
  <dataValidations count="7">
    <dataValidation type="list" allowBlank="1" showInputMessage="1" showErrorMessage="1" sqref="C227 J43 C38">
      <formula1>"Sim,Não"</formula1>
    </dataValidation>
    <dataValidation type="list" allowBlank="1" showInputMessage="1" showErrorMessage="1" sqref="K52">
      <formula1>"SIM,NÃO"</formula1>
    </dataValidation>
    <dataValidation type="list" allowBlank="1" showInputMessage="1" showErrorMessage="1" sqref="D38:F38">
      <formula1>Dados.Lista.Localidade</formula1>
    </dataValidation>
    <dataValidation type="list" allowBlank="1" showInputMessage="1" showErrorMessage="1" sqref="K43:M43">
      <formula1>Dados.Lista.RegimeExecução</formula1>
    </dataValidation>
    <dataValidation type="list" allowBlank="1" showInputMessage="1" showErrorMessage="1" sqref="N43">
      <formula1>Dados.Lista.Acompanhamento</formula1>
    </dataValidation>
    <dataValidation type="date" operator="greaterThan" allowBlank="1" showInputMessage="1" showErrorMessage="1" errorTitle="Erro de valor" error="Digite somente datas." sqref="A38:B38 H43:I43 A48:C48">
      <formula1>36526</formula1>
    </dataValidation>
    <dataValidation allowBlank="1" showInputMessage="1" showErrorMessage="1" promptTitle="Nº OPERAÇÃO:" prompt="nº do Contrato de Repasse ou Termo de Compromisso, firmado com a CAIXA._x000a_Formato 0.000.000-00/0000." sqref="A29:B29"/>
  </dataValidations>
  <printOptions/>
  <pageMargins left="0.78740157480315" right="0.78740157480315" top="0.78740157480315" bottom="0.78740157480315" header="5.70866141732284" footer="0.590551181102362"/>
  <pageSetup fitToHeight="1" fitToWidth="1" horizontalDpi="600" verticalDpi="600" orientation="portrait" paperSize="9" scale="41" r:id="rId3"/>
  <headerFooter alignWithMargins="0">
    <oddHeader>&amp;L_</oddHeader>
    <oddFooter>&amp;L27.476 v008   micro&amp;R&amp;P</oddFooter>
  </headerFooter>
  <drawing r:id="rId2"/>
  <legacyDrawing r:id="rId1"/>
  <mc:AlternateContent xmlns:mc="http://schemas.openxmlformats.org/markup-compatibility/2006">
    <mc:Choice Requires="x14">
      <controls>
        <mc:AlternateContent>
          <mc:Choice Requires="x14">
            <control xmlns:r="http://schemas.openxmlformats.org/officeDocument/2006/relationships" shapeId="34202" r:id="rId4" name="OptionPLQ-ON">
              <controlPr defaultSize="0" print="0" autoFill="0" autoLine="0" autoPict="0" macro="[0]!ShowPLQ" altText="Parcela 1">
                <anchor moveWithCells="1">
                  <from>
                    <xdr:col>0</xdr:col>
                    <xdr:colOff>381000</xdr:colOff>
                    <xdr:row>18</xdr:row>
                    <xdr:rowOff>83820</xdr:rowOff>
                  </from>
                  <to>
                    <xdr:col>5</xdr:col>
                    <xdr:colOff>228600</xdr:colOff>
                    <xdr:row>20</xdr:row>
                    <xdr:rowOff>45720</xdr:rowOff>
                  </to>
                </anchor>
              </controlPr>
            </control>
          </mc:Choice>
        </mc:AlternateContent>
        <mc:AlternateContent>
          <mc:Choice Requires="x14">
            <control xmlns:r="http://schemas.openxmlformats.org/officeDocument/2006/relationships" shapeId="34203" r:id="rId5" name="OptionPLQ-OFF">
              <controlPr defaultSize="0" print="0" autoFill="0" autoLine="0" autoPict="0" macro="[0]!HidePLQ" altText="Parcela 1">
                <anchor moveWithCells="1">
                  <from>
                    <xdr:col>5</xdr:col>
                    <xdr:colOff>228600</xdr:colOff>
                    <xdr:row>18</xdr:row>
                    <xdr:rowOff>83820</xdr:rowOff>
                  </from>
                  <to>
                    <xdr:col>11</xdr:col>
                    <xdr:colOff>144780</xdr:colOff>
                    <xdr:row>20</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4">
    <tabColor rgb="FFFFFF00"/>
    <pageSetUpPr fitToPage="1"/>
  </sheetPr>
  <dimension ref="A1:AE60"/>
  <sheetViews>
    <sheetView showGridLines="0" zoomScaleSheetLayoutView="100" zoomScalePageLayoutView="70" workbookViewId="0" topLeftCell="I7">
      <selection activeCell="P15" sqref="P15"/>
    </sheetView>
  </sheetViews>
  <sheetFormatPr defaultColWidth="0" defaultRowHeight="12.75" zeroHeight="1"/>
  <cols>
    <col min="1" max="1" width="30.28125" style="52" hidden="1" customWidth="1"/>
    <col min="2" max="3" width="9.140625" style="52" hidden="1" customWidth="1"/>
    <col min="4" max="4" width="23.57421875" style="52" hidden="1" customWidth="1"/>
    <col min="5" max="8" width="9.140625" style="52" hidden="1" customWidth="1"/>
    <col min="9" max="14" width="10.7109375" style="52" customWidth="1"/>
    <col min="15" max="15" width="12.8515625" style="52" customWidth="1"/>
    <col min="16" max="18" width="10.7109375" style="52" customWidth="1"/>
    <col min="19" max="19" width="3.7109375" style="52" customWidth="1"/>
    <col min="20" max="20" width="29.57421875" style="52" customWidth="1"/>
    <col min="21" max="21" width="13.7109375" style="52" customWidth="1"/>
    <col min="22" max="16384" width="9.140625" style="52" hidden="1" customWidth="1"/>
  </cols>
  <sheetData>
    <row r="1" spans="5:18" ht="15" customHeight="1">
      <c r="E1" s="53" t="s">
        <v>25</v>
      </c>
      <c r="F1" s="53" t="s">
        <v>26</v>
      </c>
      <c r="G1" s="53" t="s">
        <v>27</v>
      </c>
      <c r="N1" s="56" t="str">
        <f ca="1">"Quadro de Composição do BDI "&amp;MID(CELL("nome.arquivo",N1),5+FIND("BDI (",CELL("nome.arquivo",N1)),1)</f>
        <v>Quadro de Composição do BDI 1</v>
      </c>
      <c r="Q1"/>
      <c r="R1"/>
    </row>
    <row r="2" spans="1:18" ht="12.75">
      <c r="A2" s="52" t="s">
        <v>28</v>
      </c>
      <c r="B2" s="54" t="s">
        <v>29</v>
      </c>
      <c r="C2" s="52" t="str">
        <f aca="true" t="shared" si="0" ref="C2:C49">CONCATENATE(A2,"-",B2)</f>
        <v>Construção e Reforma de Edifícios-AC</v>
      </c>
      <c r="E2" s="55">
        <v>0.03</v>
      </c>
      <c r="F2" s="55">
        <v>0.04</v>
      </c>
      <c r="G2" s="55">
        <v>0.055</v>
      </c>
      <c r="Q2"/>
      <c r="R2"/>
    </row>
    <row r="3" spans="1:7" ht="12.75">
      <c r="A3" s="52" t="str">
        <f>A2</f>
        <v>Construção e Reforma de Edifícios</v>
      </c>
      <c r="B3" s="54" t="s">
        <v>30</v>
      </c>
      <c r="C3" s="52" t="str">
        <f t="shared" si="0"/>
        <v>Construção e Reforma de Edifícios-SG</v>
      </c>
      <c r="E3" s="55">
        <v>0.008</v>
      </c>
      <c r="F3" s="55">
        <v>0.008</v>
      </c>
      <c r="G3" s="55">
        <v>0.01</v>
      </c>
    </row>
    <row r="4" spans="1:18" ht="12.75">
      <c r="A4" s="52" t="str">
        <f>A3</f>
        <v>Construção e Reforma de Edifícios</v>
      </c>
      <c r="B4" s="54" t="s">
        <v>31</v>
      </c>
      <c r="C4" s="52" t="str">
        <f t="shared" si="0"/>
        <v>Construção e Reforma de Edifícios-R</v>
      </c>
      <c r="E4" s="55">
        <v>0.0097</v>
      </c>
      <c r="F4" s="55">
        <v>0.0127</v>
      </c>
      <c r="G4" s="55">
        <v>0.0127</v>
      </c>
      <c r="I4" s="239" t="s">
        <v>149</v>
      </c>
      <c r="J4" s="241"/>
      <c r="K4" s="239" t="s">
        <v>172</v>
      </c>
      <c r="L4" s="240"/>
      <c r="M4" s="240"/>
      <c r="N4" s="240"/>
      <c r="O4" s="240"/>
      <c r="P4" s="240"/>
      <c r="Q4" s="240"/>
      <c r="R4" s="241"/>
    </row>
    <row r="5" spans="1:19" ht="12.75" customHeight="1">
      <c r="A5" s="52" t="str">
        <f>A4</f>
        <v>Construção e Reforma de Edifícios</v>
      </c>
      <c r="B5" s="54" t="s">
        <v>32</v>
      </c>
      <c r="C5" s="52" t="str">
        <f t="shared" si="0"/>
        <v>Construção e Reforma de Edifícios-DF</v>
      </c>
      <c r="E5" s="55">
        <v>0.0059</v>
      </c>
      <c r="F5" s="55">
        <v>0.0123</v>
      </c>
      <c r="G5" s="55">
        <v>0.0139</v>
      </c>
      <c r="I5" s="327">
        <f>DADOS!A29</f>
        <v>0</v>
      </c>
      <c r="J5" s="328"/>
      <c r="K5" s="329" t="str">
        <f>DADOS!A32</f>
        <v>Município de Fontoura Xavier</v>
      </c>
      <c r="L5" s="330"/>
      <c r="M5" s="330"/>
      <c r="N5" s="330"/>
      <c r="O5" s="330"/>
      <c r="P5" s="330"/>
      <c r="Q5" s="330"/>
      <c r="R5" s="331"/>
      <c r="S5" s="57"/>
    </row>
    <row r="6" spans="1:18" ht="6" customHeight="1">
      <c r="A6" s="52" t="str">
        <f>A5</f>
        <v>Construção e Reforma de Edifícios</v>
      </c>
      <c r="B6" s="54" t="s">
        <v>163</v>
      </c>
      <c r="C6" s="52" t="str">
        <f t="shared" si="0"/>
        <v>Construção e Reforma de Edifícios-L</v>
      </c>
      <c r="E6" s="55">
        <v>0.0616</v>
      </c>
      <c r="F6" s="55">
        <v>0.07400000000000001</v>
      </c>
      <c r="G6" s="55">
        <v>0.08960000000000001</v>
      </c>
      <c r="I6" s="58"/>
      <c r="J6" s="58"/>
      <c r="K6" s="58"/>
      <c r="L6" s="58"/>
      <c r="M6" s="58"/>
      <c r="N6" s="58"/>
      <c r="O6" s="58"/>
      <c r="P6" s="58"/>
      <c r="Q6" s="58"/>
      <c r="R6" s="58"/>
    </row>
    <row r="7" spans="1:18" ht="13.5" customHeight="1">
      <c r="A7" s="52" t="str">
        <f>A6</f>
        <v>Construção e Reforma de Edifícios</v>
      </c>
      <c r="B7" s="59" t="s">
        <v>33</v>
      </c>
      <c r="C7" s="52" t="str">
        <f t="shared" si="0"/>
        <v>Construção e Reforma de Edifícios-BDI PAD</v>
      </c>
      <c r="E7" s="55">
        <v>0.2034</v>
      </c>
      <c r="F7" s="55">
        <v>0.2212</v>
      </c>
      <c r="G7" s="55">
        <v>0.25</v>
      </c>
      <c r="I7" s="239" t="s">
        <v>0</v>
      </c>
      <c r="J7" s="240"/>
      <c r="K7" s="240"/>
      <c r="L7" s="240"/>
      <c r="M7" s="240"/>
      <c r="N7" s="240"/>
      <c r="O7" s="240"/>
      <c r="P7" s="240"/>
      <c r="Q7" s="240"/>
      <c r="R7" s="241"/>
    </row>
    <row r="8" spans="1:18" ht="24.75" customHeight="1">
      <c r="A8" s="52" t="s">
        <v>34</v>
      </c>
      <c r="B8" s="54" t="s">
        <v>29</v>
      </c>
      <c r="C8" s="52" t="str">
        <f t="shared" si="0"/>
        <v>Construção de Praças Urbanas, Rodovias, Ferrovias e recapeamento e pavimentação de vias urbanas-AC</v>
      </c>
      <c r="E8" s="55">
        <v>0.038</v>
      </c>
      <c r="F8" s="55">
        <v>0.0401</v>
      </c>
      <c r="G8" s="55">
        <v>0.0467</v>
      </c>
      <c r="I8" s="332" t="str">
        <f>DADOS!P29</f>
        <v>Pavimentação em Piso Intertravado de Vias Públicas</v>
      </c>
      <c r="J8" s="332"/>
      <c r="K8" s="332"/>
      <c r="L8" s="332"/>
      <c r="M8" s="332"/>
      <c r="N8" s="332"/>
      <c r="O8" s="332"/>
      <c r="P8" s="332"/>
      <c r="Q8" s="332"/>
      <c r="R8" s="332"/>
    </row>
    <row r="9" spans="1:18" ht="6" customHeight="1">
      <c r="A9" s="52" t="s">
        <v>34</v>
      </c>
      <c r="B9" s="54" t="s">
        <v>30</v>
      </c>
      <c r="C9" s="52" t="str">
        <f t="shared" si="0"/>
        <v>Construção de Praças Urbanas, Rodovias, Ferrovias e recapeamento e pavimentação de vias urbanas-SG</v>
      </c>
      <c r="E9" s="55">
        <v>0.0032</v>
      </c>
      <c r="F9" s="55">
        <v>0.004</v>
      </c>
      <c r="G9" s="55">
        <v>0.0074</v>
      </c>
      <c r="I9" s="58"/>
      <c r="J9" s="58"/>
      <c r="K9" s="58"/>
      <c r="L9" s="58"/>
      <c r="M9" s="58"/>
      <c r="N9" s="58"/>
      <c r="O9" s="58"/>
      <c r="P9" s="58"/>
      <c r="Q9" s="58"/>
      <c r="R9" s="58"/>
    </row>
    <row r="10" spans="1:18" ht="12.75">
      <c r="A10" s="52" t="s">
        <v>34</v>
      </c>
      <c r="B10" s="54" t="s">
        <v>31</v>
      </c>
      <c r="C10" s="52" t="str">
        <f t="shared" si="0"/>
        <v>Construção de Praças Urbanas, Rodovias, Ferrovias e recapeamento e pavimentação de vias urbanas-R</v>
      </c>
      <c r="E10" s="55">
        <v>0.005</v>
      </c>
      <c r="F10" s="55">
        <v>0.005600000000000001</v>
      </c>
      <c r="G10" s="55">
        <v>0.0097</v>
      </c>
      <c r="I10" s="239" t="s">
        <v>35</v>
      </c>
      <c r="J10" s="240"/>
      <c r="K10" s="240"/>
      <c r="L10" s="240"/>
      <c r="M10" s="240"/>
      <c r="N10" s="240"/>
      <c r="O10" s="240"/>
      <c r="P10" s="240"/>
      <c r="Q10" s="239" t="s">
        <v>13</v>
      </c>
      <c r="R10" s="241"/>
    </row>
    <row r="11" spans="1:18" ht="12.75">
      <c r="A11" s="52" t="s">
        <v>34</v>
      </c>
      <c r="B11" s="54" t="s">
        <v>32</v>
      </c>
      <c r="C11" s="52" t="str">
        <f t="shared" si="0"/>
        <v>Construção de Praças Urbanas, Rodovias, Ferrovias e recapeamento e pavimentação de vias urbanas-DF</v>
      </c>
      <c r="E11" s="55">
        <v>0.0102</v>
      </c>
      <c r="F11" s="55">
        <v>0.0111</v>
      </c>
      <c r="G11" s="55">
        <v>0.0121</v>
      </c>
      <c r="I11" s="322" t="s">
        <v>34</v>
      </c>
      <c r="J11" s="323"/>
      <c r="K11" s="323"/>
      <c r="L11" s="323"/>
      <c r="M11" s="323"/>
      <c r="N11" s="323"/>
      <c r="O11" s="323"/>
      <c r="P11" s="324"/>
      <c r="Q11" s="325" t="str">
        <f>DADOS!$C$38</f>
        <v>Não</v>
      </c>
      <c r="R11" s="326"/>
    </row>
    <row r="12" spans="1:7" ht="12.75">
      <c r="A12" s="52" t="s">
        <v>34</v>
      </c>
      <c r="B12" s="54" t="s">
        <v>163</v>
      </c>
      <c r="C12" s="52" t="str">
        <f t="shared" si="0"/>
        <v>Construção de Praças Urbanas, Rodovias, Ferrovias e recapeamento e pavimentação de vias urbanas-L</v>
      </c>
      <c r="E12" s="55">
        <v>0.0664</v>
      </c>
      <c r="F12" s="55">
        <v>0.073</v>
      </c>
      <c r="G12" s="55">
        <v>0.08689999999999999</v>
      </c>
    </row>
    <row r="13" spans="1:18" ht="15" customHeight="1">
      <c r="A13" s="52" t="s">
        <v>34</v>
      </c>
      <c r="B13" s="59" t="s">
        <v>33</v>
      </c>
      <c r="C13" s="52" t="str">
        <f t="shared" si="0"/>
        <v>Construção de Praças Urbanas, Rodovias, Ferrovias e recapeamento e pavimentação de vias urbanas-BDI PAD</v>
      </c>
      <c r="E13" s="55">
        <v>0.196</v>
      </c>
      <c r="F13" s="55">
        <v>0.2097</v>
      </c>
      <c r="G13" s="55">
        <v>0.24230000000000002</v>
      </c>
      <c r="I13" s="319" t="s">
        <v>36</v>
      </c>
      <c r="J13" s="319"/>
      <c r="K13" s="319"/>
      <c r="L13" s="319"/>
      <c r="M13" s="319"/>
      <c r="N13" s="319"/>
      <c r="O13" s="319"/>
      <c r="P13" s="319"/>
      <c r="Q13" s="316">
        <v>1</v>
      </c>
      <c r="R13" s="316"/>
    </row>
    <row r="14" spans="1:18" ht="15" customHeight="1">
      <c r="A14" s="52" t="s">
        <v>37</v>
      </c>
      <c r="B14" s="54" t="s">
        <v>29</v>
      </c>
      <c r="C14" s="52" t="str">
        <f t="shared" si="0"/>
        <v>Construção de Redes de Abastecimento de Água, Coleta de Esgoto-AC</v>
      </c>
      <c r="E14" s="55">
        <v>0.034300000000000004</v>
      </c>
      <c r="F14" s="55">
        <v>0.0493</v>
      </c>
      <c r="G14" s="55">
        <v>0.06709999999999999</v>
      </c>
      <c r="I14" s="317" t="s">
        <v>38</v>
      </c>
      <c r="J14" s="317"/>
      <c r="K14" s="317"/>
      <c r="L14" s="317"/>
      <c r="M14" s="317"/>
      <c r="N14" s="317"/>
      <c r="O14" s="317"/>
      <c r="P14" s="317"/>
      <c r="Q14" s="316">
        <v>0.025</v>
      </c>
      <c r="R14" s="316"/>
    </row>
    <row r="15" spans="1:7" ht="12.75">
      <c r="A15" s="52" t="str">
        <f>A14</f>
        <v>Construção de Redes de Abastecimento de Água, Coleta de Esgoto</v>
      </c>
      <c r="B15" s="54" t="s">
        <v>30</v>
      </c>
      <c r="C15" s="52" t="str">
        <f t="shared" si="0"/>
        <v>Construção de Redes de Abastecimento de Água, Coleta de Esgoto-SG</v>
      </c>
      <c r="E15" s="55">
        <v>0.0028000000000000004</v>
      </c>
      <c r="F15" s="55">
        <v>0.0049</v>
      </c>
      <c r="G15" s="55">
        <v>0.0075</v>
      </c>
    </row>
    <row r="16" spans="2:29" ht="12.75" customHeight="1">
      <c r="B16" s="54"/>
      <c r="E16" s="55"/>
      <c r="F16" s="55"/>
      <c r="G16" s="55"/>
      <c r="I16" s="318" t="s">
        <v>39</v>
      </c>
      <c r="J16" s="318"/>
      <c r="K16" s="318"/>
      <c r="L16" s="318"/>
      <c r="M16" s="318" t="s">
        <v>40</v>
      </c>
      <c r="N16" s="321" t="s">
        <v>41</v>
      </c>
      <c r="O16" s="321" t="s">
        <v>42</v>
      </c>
      <c r="P16" s="320" t="s">
        <v>43</v>
      </c>
      <c r="Q16" s="320" t="s">
        <v>44</v>
      </c>
      <c r="R16" s="337" t="s">
        <v>45</v>
      </c>
      <c r="T16" s="333" t="str">
        <f>IF(V27,"Para BDI fora do intervalo estatístico, deve ser apresentado Relatório Técnico Circunstanciado justificando a adoção do percentual de cada parcela do BDI.","")</f>
        <v/>
      </c>
      <c r="U16" s="333"/>
      <c r="V16" s="108"/>
      <c r="W16" s="108"/>
      <c r="X16" s="108"/>
      <c r="Y16" s="108"/>
      <c r="Z16" s="108"/>
      <c r="AA16" s="108"/>
      <c r="AB16" s="108"/>
      <c r="AC16" s="108"/>
    </row>
    <row r="17" spans="1:29" ht="15.75" customHeight="1">
      <c r="A17" s="52" t="str">
        <f>A15</f>
        <v>Construção de Redes de Abastecimento de Água, Coleta de Esgoto</v>
      </c>
      <c r="B17" s="54" t="s">
        <v>31</v>
      </c>
      <c r="C17" s="52" t="str">
        <f t="shared" si="0"/>
        <v>Construção de Redes de Abastecimento de Água, Coleta de Esgoto-R</v>
      </c>
      <c r="E17" s="55">
        <v>0.01</v>
      </c>
      <c r="F17" s="55">
        <v>0.0139</v>
      </c>
      <c r="G17" s="55">
        <v>0.0174</v>
      </c>
      <c r="I17" s="318"/>
      <c r="J17" s="318"/>
      <c r="K17" s="318"/>
      <c r="L17" s="318"/>
      <c r="M17" s="318"/>
      <c r="N17" s="321"/>
      <c r="O17" s="321"/>
      <c r="P17" s="320"/>
      <c r="Q17" s="320"/>
      <c r="R17" s="337"/>
      <c r="T17" s="333"/>
      <c r="U17" s="333"/>
      <c r="V17" s="108"/>
      <c r="W17" s="108"/>
      <c r="X17" s="108"/>
      <c r="Y17" s="108"/>
      <c r="Z17" s="108"/>
      <c r="AA17" s="108"/>
      <c r="AB17" s="108"/>
      <c r="AC17" s="108"/>
    </row>
    <row r="18" spans="1:29" ht="26.25" customHeight="1">
      <c r="A18" s="52" t="str">
        <f>A17</f>
        <v>Construção de Redes de Abastecimento de Água, Coleta de Esgoto</v>
      </c>
      <c r="B18" s="54" t="s">
        <v>32</v>
      </c>
      <c r="C18" s="52" t="str">
        <f t="shared" si="0"/>
        <v>Construção de Redes de Abastecimento de Água, Coleta de Esgoto-DF</v>
      </c>
      <c r="E18" s="55">
        <v>0.009399999999999999</v>
      </c>
      <c r="F18" s="55">
        <v>0.009899999999999999</v>
      </c>
      <c r="G18" s="55">
        <v>0.011699999999999999</v>
      </c>
      <c r="I18" s="335" t="str">
        <f>IF($I$11=$A$59,"Encargos Sociais incidentes sobre a mão de obra","Administração Central")</f>
        <v>Administração Central</v>
      </c>
      <c r="J18" s="335"/>
      <c r="K18" s="335"/>
      <c r="L18" s="335"/>
      <c r="M18" s="60" t="str">
        <f>IF($I$11=$A$59,"K1","AC")</f>
        <v>AC</v>
      </c>
      <c r="N18" s="61">
        <v>0.038</v>
      </c>
      <c r="O18" s="62" t="s">
        <v>46</v>
      </c>
      <c r="P18" s="63">
        <f>VLOOKUP(CONCATENATE(I$11,"-",M18),$C$2:$G$49,3,FALSE)</f>
        <v>0.038</v>
      </c>
      <c r="Q18" s="63">
        <f>VLOOKUP(CONCATENATE(I$11,"-",M18),$C$2:$G$49,4,FALSE)</f>
        <v>0.0401</v>
      </c>
      <c r="R18" s="63">
        <f>VLOOKUP(CONCATENATE(I$11,"-",M18),$C$2:$G$49,5,FALSE)</f>
        <v>0.0467</v>
      </c>
      <c r="T18" s="333"/>
      <c r="U18" s="333"/>
      <c r="V18" s="108"/>
      <c r="W18" s="108"/>
      <c r="X18" s="108"/>
      <c r="Y18" s="108"/>
      <c r="Z18" s="108"/>
      <c r="AA18" s="108"/>
      <c r="AB18" s="108"/>
      <c r="AC18" s="108"/>
    </row>
    <row r="19" spans="1:29" ht="26.25" customHeight="1">
      <c r="A19" s="52" t="str">
        <f>A18</f>
        <v>Construção de Redes de Abastecimento de Água, Coleta de Esgoto</v>
      </c>
      <c r="B19" s="54" t="s">
        <v>163</v>
      </c>
      <c r="C19" s="52" t="str">
        <f t="shared" si="0"/>
        <v>Construção de Redes de Abastecimento de Água, Coleta de Esgoto-L</v>
      </c>
      <c r="E19" s="55">
        <v>0.0674</v>
      </c>
      <c r="F19" s="55">
        <v>0.08039999999999999</v>
      </c>
      <c r="G19" s="55">
        <v>0.094</v>
      </c>
      <c r="I19" s="335" t="str">
        <f>IF($I$11=$A$59,"Administração Central da empresa ou consultoria - overhead","Seguro e Garantia")</f>
        <v>Seguro e Garantia</v>
      </c>
      <c r="J19" s="335"/>
      <c r="K19" s="335"/>
      <c r="L19" s="335"/>
      <c r="M19" s="60" t="str">
        <f>IF($I$11=$A$59,"K2","SG")</f>
        <v>SG</v>
      </c>
      <c r="N19" s="61">
        <v>0.0032</v>
      </c>
      <c r="O19" s="62" t="s">
        <v>46</v>
      </c>
      <c r="P19" s="63">
        <f>VLOOKUP(CONCATENATE(I$11,"-",M19),$C$2:$G$49,3,FALSE)</f>
        <v>0.0032</v>
      </c>
      <c r="Q19" s="63">
        <f>VLOOKUP(CONCATENATE(I$11,"-",M19),$C$2:$G$49,4,FALSE)</f>
        <v>0.004</v>
      </c>
      <c r="R19" s="63">
        <f>VLOOKUP(CONCATENATE(I$11,"-",M19),$C$2:$G$49,5,FALSE)</f>
        <v>0.0074</v>
      </c>
      <c r="T19" s="333"/>
      <c r="U19" s="333"/>
      <c r="V19" s="108"/>
      <c r="W19" s="108"/>
      <c r="X19" s="108"/>
      <c r="Y19" s="108"/>
      <c r="Z19" s="108"/>
      <c r="AA19" s="108"/>
      <c r="AB19" s="108"/>
      <c r="AC19" s="108"/>
    </row>
    <row r="20" spans="1:29" ht="26.25" customHeight="1">
      <c r="A20" s="52" t="str">
        <f>A19</f>
        <v>Construção de Redes de Abastecimento de Água, Coleta de Esgoto</v>
      </c>
      <c r="B20" s="59" t="s">
        <v>33</v>
      </c>
      <c r="C20" s="52" t="str">
        <f t="shared" si="0"/>
        <v>Construção de Redes de Abastecimento de Água, Coleta de Esgoto-BDI PAD</v>
      </c>
      <c r="E20" s="55">
        <v>0.2076</v>
      </c>
      <c r="F20" s="55">
        <v>0.2418</v>
      </c>
      <c r="G20" s="55">
        <v>0.2644</v>
      </c>
      <c r="I20" s="335" t="str">
        <f>IF($I$11=$A$59,"","Risco")</f>
        <v>Risco</v>
      </c>
      <c r="J20" s="335"/>
      <c r="K20" s="335"/>
      <c r="L20" s="335"/>
      <c r="M20" s="60" t="str">
        <f>IF($I$11=$A$59,"","R")</f>
        <v>R</v>
      </c>
      <c r="N20" s="61">
        <v>0.005</v>
      </c>
      <c r="O20" s="62" t="s">
        <v>46</v>
      </c>
      <c r="P20" s="63">
        <f>VLOOKUP(CONCATENATE(I$11,"-",M20),$C$2:$G$49,3,FALSE)</f>
        <v>0.005</v>
      </c>
      <c r="Q20" s="63">
        <f>VLOOKUP(CONCATENATE(I$11,"-",M20),$C$2:$G$49,4,FALSE)</f>
        <v>0.005600000000000001</v>
      </c>
      <c r="R20" s="63">
        <f>VLOOKUP(CONCATENATE(I$11,"-",M20),$C$2:$G$49,5,FALSE)</f>
        <v>0.0097</v>
      </c>
      <c r="T20" s="333"/>
      <c r="U20" s="333"/>
      <c r="V20" s="108"/>
      <c r="W20" s="108"/>
      <c r="X20" s="108"/>
      <c r="Y20" s="108"/>
      <c r="Z20" s="108"/>
      <c r="AA20" s="108"/>
      <c r="AB20" s="108"/>
      <c r="AC20" s="108"/>
    </row>
    <row r="21" spans="1:21" ht="26.25" customHeight="1">
      <c r="A21" s="52" t="s">
        <v>47</v>
      </c>
      <c r="B21" s="54" t="s">
        <v>29</v>
      </c>
      <c r="C21" s="52" t="str">
        <f t="shared" si="0"/>
        <v>Construção e Manutenção de Estações e Redes de Distribuição de Energia Elétrica-AC</v>
      </c>
      <c r="E21" s="55">
        <v>0.0529</v>
      </c>
      <c r="F21" s="55">
        <v>0.0592</v>
      </c>
      <c r="G21" s="55">
        <v>0.0793</v>
      </c>
      <c r="I21" s="335" t="str">
        <f>IF($I$11=$A$59,"","Despesas Financeiras")</f>
        <v>Despesas Financeiras</v>
      </c>
      <c r="J21" s="335"/>
      <c r="K21" s="335"/>
      <c r="L21" s="335"/>
      <c r="M21" s="60" t="str">
        <f>IF($I$11=$A$59,"","DF")</f>
        <v>DF</v>
      </c>
      <c r="N21" s="61">
        <v>0.0102</v>
      </c>
      <c r="O21" s="62" t="s">
        <v>46</v>
      </c>
      <c r="P21" s="63">
        <f>VLOOKUP(CONCATENATE(I$11,"-",M21),$C$2:$G$49,3,FALSE)</f>
        <v>0.0102</v>
      </c>
      <c r="Q21" s="63">
        <f>VLOOKUP(CONCATENATE(I$11,"-",M21),$C$2:$G$49,4,FALSE)</f>
        <v>0.0111</v>
      </c>
      <c r="R21" s="63">
        <f>VLOOKUP(CONCATENATE(I$11,"-",M21),$C$2:$G$49,5,FALSE)</f>
        <v>0.0121</v>
      </c>
      <c r="T21" s="333"/>
      <c r="U21" s="333"/>
    </row>
    <row r="22" spans="1:21" ht="26.25" customHeight="1">
      <c r="A22" s="52" t="str">
        <f>A21</f>
        <v>Construção e Manutenção de Estações e Redes de Distribuição de Energia Elétrica</v>
      </c>
      <c r="B22" s="54" t="s">
        <v>30</v>
      </c>
      <c r="C22" s="52" t="str">
        <f t="shared" si="0"/>
        <v>Construção e Manutenção de Estações e Redes de Distribuição de Energia Elétrica-SG</v>
      </c>
      <c r="E22" s="55">
        <v>0.0025</v>
      </c>
      <c r="F22" s="55">
        <v>0.0051</v>
      </c>
      <c r="G22" s="55">
        <v>0.005600000000000001</v>
      </c>
      <c r="I22" s="335" t="str">
        <f>IF($I$11=$A$59,"Margem bruta da empresa de consultoria","Lucro")</f>
        <v>Lucro</v>
      </c>
      <c r="J22" s="335"/>
      <c r="K22" s="335"/>
      <c r="L22" s="335"/>
      <c r="M22" s="60" t="str">
        <f>IF($I$11=$A$59,"K3","L")</f>
        <v>L</v>
      </c>
      <c r="N22" s="61">
        <v>0.0664</v>
      </c>
      <c r="O22" s="62" t="s">
        <v>46</v>
      </c>
      <c r="P22" s="63">
        <f>VLOOKUP(CONCATENATE(I$11,"-",M22),$C$2:$G$49,3,FALSE)</f>
        <v>0.0664</v>
      </c>
      <c r="Q22" s="63">
        <f>VLOOKUP(CONCATENATE(I$11,"-",M22),$C$2:$G$49,4,FALSE)</f>
        <v>0.073</v>
      </c>
      <c r="R22" s="63">
        <f>VLOOKUP(CONCATENATE(I$11,"-",M22),$C$2:$G$49,5,FALSE)</f>
        <v>0.08689999999999999</v>
      </c>
      <c r="T22" s="333"/>
      <c r="U22" s="333"/>
    </row>
    <row r="23" spans="1:21" ht="26.25" customHeight="1">
      <c r="A23" s="52" t="str">
        <f>A22</f>
        <v>Construção e Manutenção de Estações e Redes de Distribuição de Energia Elétrica</v>
      </c>
      <c r="B23" s="54" t="s">
        <v>31</v>
      </c>
      <c r="C23" s="52" t="str">
        <f t="shared" si="0"/>
        <v>Construção e Manutenção de Estações e Redes de Distribuição de Energia Elétrica-R</v>
      </c>
      <c r="E23" s="55">
        <v>0.01</v>
      </c>
      <c r="F23" s="55">
        <v>0.0148</v>
      </c>
      <c r="G23" s="55">
        <v>0.0197</v>
      </c>
      <c r="I23" s="336" t="s">
        <v>48</v>
      </c>
      <c r="J23" s="336"/>
      <c r="K23" s="336"/>
      <c r="L23" s="336"/>
      <c r="M23" s="60" t="s">
        <v>49</v>
      </c>
      <c r="N23" s="61">
        <v>0.0365</v>
      </c>
      <c r="O23" s="62" t="s">
        <v>46</v>
      </c>
      <c r="P23" s="63">
        <v>0.0365</v>
      </c>
      <c r="Q23" s="63">
        <v>0.0365</v>
      </c>
      <c r="R23" s="63">
        <v>0.0365</v>
      </c>
      <c r="T23" s="333"/>
      <c r="U23" s="333"/>
    </row>
    <row r="24" spans="1:21" ht="26.25" customHeight="1">
      <c r="A24" s="52" t="str">
        <f>A23</f>
        <v>Construção e Manutenção de Estações e Redes de Distribuição de Energia Elétrica</v>
      </c>
      <c r="B24" s="54" t="s">
        <v>32</v>
      </c>
      <c r="C24" s="52" t="str">
        <f t="shared" si="0"/>
        <v>Construção e Manutenção de Estações e Redes de Distribuição de Energia Elétrica-DF</v>
      </c>
      <c r="E24" s="55">
        <v>0.0101</v>
      </c>
      <c r="F24" s="55">
        <v>0.010700000000000001</v>
      </c>
      <c r="G24" s="55">
        <v>0.0111</v>
      </c>
      <c r="I24" s="335" t="s">
        <v>50</v>
      </c>
      <c r="J24" s="335"/>
      <c r="K24" s="335"/>
      <c r="L24" s="335"/>
      <c r="M24" s="60" t="s">
        <v>51</v>
      </c>
      <c r="N24" s="63">
        <f>IF($I$11&lt;&gt;$A$58,Q14*Q13,0)</f>
        <v>0.025</v>
      </c>
      <c r="O24" s="62" t="s">
        <v>46</v>
      </c>
      <c r="P24" s="63">
        <v>0</v>
      </c>
      <c r="Q24" s="63">
        <v>0.025</v>
      </c>
      <c r="R24" s="63">
        <v>0.05</v>
      </c>
      <c r="T24" s="333"/>
      <c r="U24" s="333"/>
    </row>
    <row r="25" spans="1:18" ht="26.25" customHeight="1">
      <c r="A25" s="52" t="str">
        <f>A24</f>
        <v>Construção e Manutenção de Estações e Redes de Distribuição de Energia Elétrica</v>
      </c>
      <c r="B25" s="54" t="s">
        <v>163</v>
      </c>
      <c r="C25" s="52" t="str">
        <f t="shared" si="0"/>
        <v>Construção e Manutenção de Estações e Redes de Distribuição de Energia Elétrica-L</v>
      </c>
      <c r="E25" s="55">
        <v>0.08</v>
      </c>
      <c r="F25" s="55">
        <v>0.08310000000000001</v>
      </c>
      <c r="G25" s="55">
        <v>0.0951</v>
      </c>
      <c r="I25" s="335" t="s">
        <v>116</v>
      </c>
      <c r="J25" s="335"/>
      <c r="K25" s="335"/>
      <c r="L25" s="335"/>
      <c r="M25" s="60" t="s">
        <v>52</v>
      </c>
      <c r="N25" s="63">
        <f>IF(AND($I$11&lt;&gt;$A$58,Q11="Sim"),4.5%,0%)</f>
        <v>0</v>
      </c>
      <c r="O25" s="62" t="str">
        <f>IF(AND(N25&gt;=P25,N25&lt;=R25),"OK","Não OK")</f>
        <v>OK</v>
      </c>
      <c r="P25" s="64">
        <v>0</v>
      </c>
      <c r="Q25" s="64">
        <v>0.045</v>
      </c>
      <c r="R25" s="64">
        <v>0.045</v>
      </c>
    </row>
    <row r="26" spans="1:31" ht="30.75" customHeight="1">
      <c r="A26" s="52" t="str">
        <f>A25</f>
        <v>Construção e Manutenção de Estações e Redes de Distribuição de Energia Elétrica</v>
      </c>
      <c r="B26" s="59" t="s">
        <v>33</v>
      </c>
      <c r="C26" s="52" t="str">
        <f t="shared" si="0"/>
        <v>Construção e Manutenção de Estações e Redes de Distribuição de Energia Elétrica-BDI PAD</v>
      </c>
      <c r="E26" s="55">
        <v>0.24</v>
      </c>
      <c r="F26" s="55">
        <v>0.2584</v>
      </c>
      <c r="G26" s="55">
        <v>0.2786</v>
      </c>
      <c r="I26" s="335" t="s">
        <v>53</v>
      </c>
      <c r="J26" s="335"/>
      <c r="K26" s="335"/>
      <c r="L26" s="335"/>
      <c r="M26" s="65" t="s">
        <v>33</v>
      </c>
      <c r="N26" s="63">
        <f>IF($I$11=$A$58,0,ROUND((((1+N18+N19+N20)*(1+N21)*(1+N22)/(1-(N23+N24)))-1),4))</f>
        <v>0.2009</v>
      </c>
      <c r="O26" s="106" t="str">
        <f>IF(OR($I$11=$A$59,$I$11=$A$58,AND(N26&gt;=P26,N26&lt;=R26)),"OK","FORA DO INTERVALO")</f>
        <v>OK</v>
      </c>
      <c r="P26" s="63">
        <f>IF($I$11=$A$58,0,VLOOKUP(CONCATENATE($I$11,"-",$M26),$C$2:$G$49,3,FALSE))</f>
        <v>0.196</v>
      </c>
      <c r="Q26" s="63">
        <f>IF($I$11=$A$58,0,VLOOKUP(CONCATENATE($I$11,"-",$M26),$C$2:$G$49,4,FALSE))</f>
        <v>0.2097</v>
      </c>
      <c r="R26" s="63">
        <f>IF($I$11=$A$58,0,VLOOKUP(CONCATENATE($I$11,"-",$M26),$C$2:$G$49,5,FALSE))</f>
        <v>0.24230000000000002</v>
      </c>
      <c r="T26" s="107"/>
      <c r="V26" s="108"/>
      <c r="W26" s="108"/>
      <c r="X26" s="108"/>
      <c r="Y26" s="108"/>
      <c r="Z26" s="108"/>
      <c r="AA26" s="108"/>
      <c r="AB26" s="108"/>
      <c r="AC26" s="108"/>
      <c r="AD26" s="108"/>
      <c r="AE26" s="108"/>
    </row>
    <row r="27" spans="1:23" ht="30" customHeight="1">
      <c r="A27" s="52" t="s">
        <v>54</v>
      </c>
      <c r="B27" s="54" t="s">
        <v>29</v>
      </c>
      <c r="C27" s="52" t="str">
        <f t="shared" si="0"/>
        <v>Obras Portuárias, Marítimas e Fluviais-AC</v>
      </c>
      <c r="E27" s="55">
        <v>0.04</v>
      </c>
      <c r="F27" s="55">
        <v>0.0552</v>
      </c>
      <c r="G27" s="55">
        <v>0.0785</v>
      </c>
      <c r="I27" s="346" t="s">
        <v>55</v>
      </c>
      <c r="J27" s="346"/>
      <c r="K27" s="346"/>
      <c r="L27" s="346"/>
      <c r="M27" s="66" t="s">
        <v>56</v>
      </c>
      <c r="N27" s="67">
        <f>IF($I$11=$A$58,0,ROUND((((1+N18+N19+N20)*(1+N21)*(1+N22)/(1-(N23+N24+N25)))-1),4))</f>
        <v>0.2009</v>
      </c>
      <c r="O27" s="110" t="str">
        <f>IF(Q11&lt;&gt;"Sim","",O26)</f>
        <v/>
      </c>
      <c r="P27" s="347"/>
      <c r="Q27" s="347"/>
      <c r="R27" s="347"/>
      <c r="T27" s="107"/>
      <c r="V27" s="111" t="b">
        <f>AND(COUNTA(N18:N23)=6,O26&lt;&gt;"ok",NOT(V29))</f>
        <v>0</v>
      </c>
      <c r="W27" s="52" t="s">
        <v>118</v>
      </c>
    </row>
    <row r="28" spans="1:22" ht="7.5" customHeight="1">
      <c r="A28" s="52" t="str">
        <f>A27</f>
        <v>Obras Portuárias, Marítimas e Fluviais</v>
      </c>
      <c r="B28" s="54" t="s">
        <v>30</v>
      </c>
      <c r="C28" s="52" t="str">
        <f t="shared" si="0"/>
        <v>Obras Portuárias, Marítimas e Fluviais-SG</v>
      </c>
      <c r="E28" s="55">
        <v>0.008100000000000001</v>
      </c>
      <c r="F28" s="55">
        <v>0.012199999999999999</v>
      </c>
      <c r="G28" s="55">
        <v>0.0199</v>
      </c>
      <c r="V28" s="111"/>
    </row>
    <row r="29" spans="1:23" ht="21.75" customHeight="1">
      <c r="A29" s="52" t="str">
        <f>A28</f>
        <v>Obras Portuárias, Marítimas e Fluviais</v>
      </c>
      <c r="B29" s="54" t="s">
        <v>31</v>
      </c>
      <c r="C29" s="52" t="str">
        <f t="shared" si="0"/>
        <v>Obras Portuárias, Marítimas e Fluviais-R</v>
      </c>
      <c r="E29" s="55">
        <v>0.0146</v>
      </c>
      <c r="F29" s="55">
        <v>0.0232</v>
      </c>
      <c r="G29" s="55">
        <v>0.0316</v>
      </c>
      <c r="I29" s="109" t="str">
        <f>IF(V29,"X","")</f>
        <v/>
      </c>
      <c r="J29" s="345" t="s">
        <v>117</v>
      </c>
      <c r="K29" s="345"/>
      <c r="L29" s="345"/>
      <c r="M29" s="345"/>
      <c r="N29" s="345"/>
      <c r="O29" s="345"/>
      <c r="P29" s="345"/>
      <c r="Q29" s="345"/>
      <c r="R29" s="345"/>
      <c r="V29" s="111" t="b">
        <v>0</v>
      </c>
      <c r="W29" s="52" t="s">
        <v>119</v>
      </c>
    </row>
    <row r="30" spans="2:22" ht="7.5" customHeight="1">
      <c r="B30" s="54"/>
      <c r="E30" s="55"/>
      <c r="F30" s="55"/>
      <c r="G30" s="55"/>
      <c r="V30" s="111"/>
    </row>
    <row r="31" spans="2:18" ht="18.75" customHeight="1">
      <c r="B31" s="54"/>
      <c r="E31" s="55"/>
      <c r="F31" s="55"/>
      <c r="G31" s="55"/>
      <c r="I31" s="348" t="s">
        <v>61</v>
      </c>
      <c r="J31" s="348"/>
      <c r="K31" s="348"/>
      <c r="L31" s="348"/>
      <c r="M31" s="348"/>
      <c r="N31" s="348"/>
      <c r="O31" s="348"/>
      <c r="P31" s="348"/>
      <c r="Q31" s="348"/>
      <c r="R31" s="348"/>
    </row>
    <row r="32" spans="1:18" ht="30" customHeight="1">
      <c r="A32" s="52" t="str">
        <f>A29</f>
        <v>Obras Portuárias, Marítimas e Fluviais</v>
      </c>
      <c r="B32" s="54" t="s">
        <v>32</v>
      </c>
      <c r="C32" s="52" t="str">
        <f t="shared" si="0"/>
        <v>Obras Portuárias, Marítimas e Fluviais-DF</v>
      </c>
      <c r="E32" s="55">
        <v>0.009399999999999999</v>
      </c>
      <c r="F32" s="55">
        <v>0.0102</v>
      </c>
      <c r="G32" s="55">
        <v>0.013300000000000001</v>
      </c>
      <c r="I32" s="100"/>
      <c r="J32" s="100"/>
      <c r="K32" s="100"/>
      <c r="L32" s="343" t="str">
        <f>IF(Q11="Sim","BDI.DES =","BDI.PAD =")</f>
        <v>BDI.PAD =</v>
      </c>
      <c r="M32" s="341" t="str">
        <f>IF($I$11=$A$59,"(1+K1+K2)*(1+K3)","(1+AC + S + R + G)*(1 + DF)*(1+L)")</f>
        <v>(1+AC + S + R + G)*(1 + DF)*(1+L)</v>
      </c>
      <c r="N32" s="341"/>
      <c r="O32" s="341"/>
      <c r="P32" s="339" t="s">
        <v>108</v>
      </c>
      <c r="Q32" s="100"/>
      <c r="R32" s="100"/>
    </row>
    <row r="33" spans="1:18" ht="27" customHeight="1">
      <c r="A33" s="52" t="str">
        <f>A32</f>
        <v>Obras Portuárias, Marítimas e Fluviais</v>
      </c>
      <c r="B33" s="54" t="s">
        <v>163</v>
      </c>
      <c r="C33" s="52" t="str">
        <f t="shared" si="0"/>
        <v>Obras Portuárias, Marítimas e Fluviais-L</v>
      </c>
      <c r="E33" s="55">
        <v>0.07139999999999999</v>
      </c>
      <c r="F33" s="55">
        <v>0.084</v>
      </c>
      <c r="G33" s="55">
        <v>0.1043</v>
      </c>
      <c r="I33" s="100"/>
      <c r="J33" s="100"/>
      <c r="K33" s="100"/>
      <c r="L33" s="343"/>
      <c r="M33" s="342" t="str">
        <f>IF(Q11="Sim","(1-CP-ISS-CRPB)","(1-CP-ISS)")</f>
        <v>(1-CP-ISS)</v>
      </c>
      <c r="N33" s="342"/>
      <c r="O33" s="342"/>
      <c r="P33" s="340"/>
      <c r="Q33" s="100"/>
      <c r="R33" s="100"/>
    </row>
    <row r="34" spans="1:18" ht="7.5" customHeight="1">
      <c r="A34" s="52" t="str">
        <f>A33</f>
        <v>Obras Portuárias, Marítimas e Fluviais</v>
      </c>
      <c r="B34" s="59" t="s">
        <v>33</v>
      </c>
      <c r="C34" s="52" t="str">
        <f t="shared" si="0"/>
        <v>Obras Portuárias, Marítimas e Fluviais-BDI PAD</v>
      </c>
      <c r="E34" s="55">
        <v>0.228</v>
      </c>
      <c r="F34" s="55">
        <v>0.2748</v>
      </c>
      <c r="G34" s="55">
        <v>0.3095</v>
      </c>
      <c r="I34" s="73"/>
      <c r="J34" s="73"/>
      <c r="K34" s="73"/>
      <c r="L34" s="73"/>
      <c r="M34" s="73"/>
      <c r="N34" s="73"/>
      <c r="O34" s="73"/>
      <c r="P34" s="73"/>
      <c r="Q34" s="73"/>
      <c r="R34" s="73"/>
    </row>
    <row r="35" spans="2:18" ht="45" customHeight="1">
      <c r="B35" s="59"/>
      <c r="E35" s="55"/>
      <c r="F35" s="55"/>
      <c r="G35" s="55"/>
      <c r="I35" s="338" t="str">
        <f>CONCATENATE("Declaro para os devidos fins que, conforme legislação tributária municipal, a base de cálculo para ",I11,", é de ",Q13*100,"%, com a respectiva alíquota de ",Q14*100,"%.")</f>
        <v>Declaro para os devidos fins que, conforme legislação tributária municipal, a base de cálculo para Construção de Praças Urbanas, Rodovias, Ferrovias e recapeamento e pavimentação de vias urbanas, é de 100%, com a respectiva alíquota de 2,5%.</v>
      </c>
      <c r="J35" s="338"/>
      <c r="K35" s="338"/>
      <c r="L35" s="338"/>
      <c r="M35" s="338"/>
      <c r="N35" s="338"/>
      <c r="O35" s="338"/>
      <c r="P35" s="338"/>
      <c r="Q35" s="338"/>
      <c r="R35" s="338"/>
    </row>
    <row r="36" spans="2:7" ht="11.25" customHeight="1">
      <c r="B36" s="59"/>
      <c r="E36" s="55"/>
      <c r="F36" s="55"/>
      <c r="G36" s="55"/>
    </row>
    <row r="37" spans="2:18" ht="52.5" customHeight="1">
      <c r="B37" s="59"/>
      <c r="E37" s="55"/>
      <c r="F37" s="55"/>
      <c r="G37" s="55"/>
      <c r="I37" s="338" t="str">
        <f>CONCATENATE("Declaro para os devidos fins que o regime de Contribuição Previdenciária sobre a Receita Bruta adotado para elaboração do orçamento foi ",IF(Q11="Sim","COM","SEM")," Desoneração, e que esta é a alternativa mais adequada para a Administração Pública.")</f>
        <v>Declaro para os devidos fins que o regime de Contribuição Previdenciária sobre a Receita Bruta adotado para elaboração do orçamento foi SEM Desoneração, e que esta é a alternativa mais adequada para a Administração Pública.</v>
      </c>
      <c r="J37" s="338"/>
      <c r="K37" s="338"/>
      <c r="L37" s="338"/>
      <c r="M37" s="338"/>
      <c r="N37" s="338"/>
      <c r="O37" s="338"/>
      <c r="P37" s="338"/>
      <c r="Q37" s="338"/>
      <c r="R37" s="338"/>
    </row>
    <row r="38" spans="1:7" ht="18" customHeight="1">
      <c r="A38" s="52" t="s">
        <v>137</v>
      </c>
      <c r="B38" s="54" t="s">
        <v>29</v>
      </c>
      <c r="C38" s="52" t="str">
        <f t="shared" si="0"/>
        <v>Fornecimento de Materiais e Equipamentos (aquisição indireta - em conjunto com licitação de obras)-AC</v>
      </c>
      <c r="E38" s="55">
        <v>0.015</v>
      </c>
      <c r="F38" s="55">
        <v>0.0345</v>
      </c>
      <c r="G38" s="55">
        <v>0.0449</v>
      </c>
    </row>
    <row r="39" spans="1:9" ht="12.75">
      <c r="A39" s="52" t="str">
        <f>A38</f>
        <v>Fornecimento de Materiais e Equipamentos (aquisição indireta - em conjunto com licitação de obras)</v>
      </c>
      <c r="B39" s="54" t="s">
        <v>30</v>
      </c>
      <c r="C39" s="52" t="str">
        <f t="shared" si="0"/>
        <v>Fornecimento de Materiais e Equipamentos (aquisição indireta - em conjunto com licitação de obras)-SG</v>
      </c>
      <c r="E39" s="55">
        <v>0.003</v>
      </c>
      <c r="F39" s="55">
        <v>0.0048</v>
      </c>
      <c r="G39" s="55">
        <v>0.008199999999999999</v>
      </c>
      <c r="I39" s="52" t="s">
        <v>21</v>
      </c>
    </row>
    <row r="40" spans="1:18" ht="42.75" customHeight="1">
      <c r="A40" s="52" t="str">
        <f>A39</f>
        <v>Fornecimento de Materiais e Equipamentos (aquisição indireta - em conjunto com licitação de obras)</v>
      </c>
      <c r="B40" s="54" t="s">
        <v>31</v>
      </c>
      <c r="C40" s="52" t="str">
        <f t="shared" si="0"/>
        <v>Fornecimento de Materiais e Equipamentos (aquisição indireta - em conjunto com licitação de obras)-R</v>
      </c>
      <c r="E40" s="55">
        <v>0.005600000000000001</v>
      </c>
      <c r="F40" s="55">
        <v>0.0085</v>
      </c>
      <c r="G40" s="55">
        <v>0.0089</v>
      </c>
      <c r="I40" s="350"/>
      <c r="J40" s="351"/>
      <c r="K40" s="351"/>
      <c r="L40" s="351"/>
      <c r="M40" s="351"/>
      <c r="N40" s="351"/>
      <c r="O40" s="351"/>
      <c r="P40" s="351"/>
      <c r="Q40" s="351"/>
      <c r="R40" s="352"/>
    </row>
    <row r="41" spans="1:7" ht="16.5" customHeight="1">
      <c r="A41" s="52" t="str">
        <f>A40</f>
        <v>Fornecimento de Materiais e Equipamentos (aquisição indireta - em conjunto com licitação de obras)</v>
      </c>
      <c r="B41" s="54" t="s">
        <v>32</v>
      </c>
      <c r="C41" s="52" t="str">
        <f t="shared" si="0"/>
        <v>Fornecimento de Materiais e Equipamentos (aquisição indireta - em conjunto com licitação de obras)-DF</v>
      </c>
      <c r="E41" s="55">
        <v>0.0085</v>
      </c>
      <c r="F41" s="55">
        <v>0.0085</v>
      </c>
      <c r="G41" s="55">
        <v>0.0111</v>
      </c>
    </row>
    <row r="42" spans="1:18" ht="12.75">
      <c r="A42" s="52" t="str">
        <f>A41</f>
        <v>Fornecimento de Materiais e Equipamentos (aquisição indireta - em conjunto com licitação de obras)</v>
      </c>
      <c r="B42" s="54" t="s">
        <v>163</v>
      </c>
      <c r="C42" s="52" t="str">
        <f t="shared" si="0"/>
        <v>Fornecimento de Materiais e Equipamentos (aquisição indireta - em conjunto com licitação de obras)-L</v>
      </c>
      <c r="E42" s="55">
        <v>0.035</v>
      </c>
      <c r="F42" s="55">
        <v>0.051100000000000007</v>
      </c>
      <c r="G42" s="55">
        <v>0.0622</v>
      </c>
      <c r="I42" s="334" t="str">
        <f>PO!K68</f>
        <v>Fontoura Xavier /RS</v>
      </c>
      <c r="J42" s="334"/>
      <c r="K42" s="334"/>
      <c r="L42" s="334"/>
      <c r="O42" s="349">
        <f ca="1">PO!K71</f>
        <v>45093</v>
      </c>
      <c r="P42" s="349"/>
      <c r="Q42" s="349"/>
      <c r="R42" s="349"/>
    </row>
    <row r="43" spans="1:18" ht="15" customHeight="1">
      <c r="A43" s="52" t="str">
        <f>A42</f>
        <v>Fornecimento de Materiais e Equipamentos (aquisição indireta - em conjunto com licitação de obras)</v>
      </c>
      <c r="B43" s="59" t="s">
        <v>33</v>
      </c>
      <c r="C43" s="52" t="str">
        <f t="shared" si="0"/>
        <v>Fornecimento de Materiais e Equipamentos (aquisição indireta - em conjunto com licitação de obras)-BDI PAD</v>
      </c>
      <c r="E43" s="55">
        <v>0.111</v>
      </c>
      <c r="F43" s="55">
        <v>0.1402</v>
      </c>
      <c r="G43" s="55">
        <v>0.168</v>
      </c>
      <c r="I43" s="315" t="s">
        <v>120</v>
      </c>
      <c r="J43" s="315"/>
      <c r="K43" s="315"/>
      <c r="L43" s="315"/>
      <c r="N43" s="68"/>
      <c r="O43" s="144" t="s">
        <v>121</v>
      </c>
      <c r="P43" s="145"/>
      <c r="Q43" s="145"/>
      <c r="R43" s="145"/>
    </row>
    <row r="44" spans="1:7" ht="12.75">
      <c r="A44" s="52" t="s">
        <v>59</v>
      </c>
      <c r="B44" s="54" t="s">
        <v>104</v>
      </c>
      <c r="C44" s="52" t="str">
        <f t="shared" si="0"/>
        <v>Estudos e Projetos, Planos e Gerenciamento e outros correlatos-K1</v>
      </c>
      <c r="E44" s="55" t="s">
        <v>46</v>
      </c>
      <c r="F44" s="55" t="s">
        <v>46</v>
      </c>
      <c r="G44" s="55" t="s">
        <v>46</v>
      </c>
    </row>
    <row r="45" spans="1:18" ht="30" customHeight="1">
      <c r="A45" s="52" t="str">
        <f>A44</f>
        <v>Estudos e Projetos, Planos e Gerenciamento e outros correlatos</v>
      </c>
      <c r="B45" s="54" t="s">
        <v>105</v>
      </c>
      <c r="C45" s="52" t="str">
        <f t="shared" si="0"/>
        <v>Estudos e Projetos, Planos e Gerenciamento e outros correlatos-K2</v>
      </c>
      <c r="E45" s="55" t="s">
        <v>46</v>
      </c>
      <c r="F45" s="55">
        <v>0.2</v>
      </c>
      <c r="G45" s="55" t="s">
        <v>46</v>
      </c>
      <c r="I45" s="314"/>
      <c r="J45" s="314"/>
      <c r="K45" s="314"/>
      <c r="L45" s="314"/>
      <c r="M45" s="69"/>
      <c r="N45" s="69"/>
      <c r="O45" s="314"/>
      <c r="P45" s="314"/>
      <c r="Q45" s="314"/>
      <c r="R45" s="314"/>
    </row>
    <row r="46" spans="1:18" ht="12.75">
      <c r="A46" s="52" t="str">
        <f>A45</f>
        <v>Estudos e Projetos, Planos e Gerenciamento e outros correlatos</v>
      </c>
      <c r="B46" s="54" t="s">
        <v>106</v>
      </c>
      <c r="C46" s="52" t="str">
        <f t="shared" si="0"/>
        <v>Estudos e Projetos, Planos e Gerenciamento e outros correlatos-</v>
      </c>
      <c r="E46" s="55" t="s">
        <v>46</v>
      </c>
      <c r="F46" s="55" t="s">
        <v>46</v>
      </c>
      <c r="G46" s="55" t="s">
        <v>46</v>
      </c>
      <c r="I46" s="353" t="s">
        <v>57</v>
      </c>
      <c r="J46" s="353"/>
      <c r="K46" s="353"/>
      <c r="L46" s="353"/>
      <c r="M46" s="70"/>
      <c r="N46" s="70"/>
      <c r="O46" s="353" t="s">
        <v>58</v>
      </c>
      <c r="P46" s="353"/>
      <c r="Q46" s="353"/>
      <c r="R46" s="353"/>
    </row>
    <row r="47" spans="1:18" ht="13.8">
      <c r="A47" s="52" t="str">
        <f>A46</f>
        <v>Estudos e Projetos, Planos e Gerenciamento e outros correlatos</v>
      </c>
      <c r="B47" s="54" t="s">
        <v>106</v>
      </c>
      <c r="C47" s="52" t="str">
        <f t="shared" si="0"/>
        <v>Estudos e Projetos, Planos e Gerenciamento e outros correlatos-</v>
      </c>
      <c r="E47" s="55" t="s">
        <v>46</v>
      </c>
      <c r="F47" s="55" t="s">
        <v>46</v>
      </c>
      <c r="G47" s="55" t="s">
        <v>46</v>
      </c>
      <c r="I47" s="29" t="s">
        <v>140</v>
      </c>
      <c r="J47" s="344" t="str">
        <f>DADOS!B54</f>
        <v>Edivan Arruda de Oliveira</v>
      </c>
      <c r="K47" s="344"/>
      <c r="L47" s="344"/>
      <c r="M47" s="71"/>
      <c r="N47" s="71"/>
      <c r="O47" s="29" t="s">
        <v>140</v>
      </c>
      <c r="P47" s="313" t="s">
        <v>257</v>
      </c>
      <c r="Q47" s="313"/>
      <c r="R47" s="313"/>
    </row>
    <row r="48" spans="1:18" ht="13.8">
      <c r="A48" s="52" t="str">
        <f>A47</f>
        <v>Estudos e Projetos, Planos e Gerenciamento e outros correlatos</v>
      </c>
      <c r="B48" s="54" t="s">
        <v>107</v>
      </c>
      <c r="C48" s="52" t="str">
        <f t="shared" si="0"/>
        <v>Estudos e Projetos, Planos e Gerenciamento e outros correlatos-K3</v>
      </c>
      <c r="E48" s="55" t="s">
        <v>46</v>
      </c>
      <c r="F48" s="55">
        <v>0.12</v>
      </c>
      <c r="G48" s="55" t="s">
        <v>46</v>
      </c>
      <c r="I48" s="29" t="s">
        <v>17</v>
      </c>
      <c r="J48" s="344" t="str">
        <f>DADOS!B55</f>
        <v>Arquiteto e Urbanista</v>
      </c>
      <c r="K48" s="344"/>
      <c r="L48" s="344"/>
      <c r="M48" s="71"/>
      <c r="N48" s="71"/>
      <c r="O48" s="29" t="s">
        <v>60</v>
      </c>
      <c r="P48" s="313" t="s">
        <v>245</v>
      </c>
      <c r="Q48" s="313"/>
      <c r="R48" s="313"/>
    </row>
    <row r="49" spans="1:18" ht="13.8">
      <c r="A49" s="52" t="str">
        <f>A48</f>
        <v>Estudos e Projetos, Planos e Gerenciamento e outros correlatos</v>
      </c>
      <c r="B49" s="59" t="s">
        <v>33</v>
      </c>
      <c r="C49" s="52" t="str">
        <f t="shared" si="0"/>
        <v>Estudos e Projetos, Planos e Gerenciamento e outros correlatos-BDI PAD</v>
      </c>
      <c r="E49" s="55" t="s">
        <v>46</v>
      </c>
      <c r="F49" s="55" t="s">
        <v>46</v>
      </c>
      <c r="G49" s="55" t="s">
        <v>46</v>
      </c>
      <c r="I49" s="29" t="str">
        <f>DADOS!A56</f>
        <v>CREA/CAU:</v>
      </c>
      <c r="J49" s="344" t="str">
        <f>DADOS!B56</f>
        <v>A156417-0</v>
      </c>
      <c r="K49" s="344"/>
      <c r="L49" s="344"/>
      <c r="M49" s="71"/>
      <c r="N49" s="71"/>
      <c r="O49" s="71"/>
      <c r="P49" s="71"/>
      <c r="Q49" s="71"/>
      <c r="R49" s="71"/>
    </row>
    <row r="50" spans="9:12" ht="12.75">
      <c r="I50" s="29" t="str">
        <f>DADOS!A57</f>
        <v>ART/RRT:</v>
      </c>
      <c r="J50" s="344">
        <f>DADOS!B57</f>
        <v>0</v>
      </c>
      <c r="K50" s="344"/>
      <c r="L50" s="344"/>
    </row>
    <row r="51" ht="12.75"/>
    <row r="52" ht="12.75" hidden="1">
      <c r="A52" s="52" t="s">
        <v>28</v>
      </c>
    </row>
    <row r="53" ht="12.75" hidden="1">
      <c r="A53" s="52" t="s">
        <v>34</v>
      </c>
    </row>
    <row r="54" ht="12.75" hidden="1">
      <c r="A54" s="52" t="s">
        <v>37</v>
      </c>
    </row>
    <row r="55" ht="12.75" hidden="1">
      <c r="A55" s="52" t="s">
        <v>47</v>
      </c>
    </row>
    <row r="56" ht="12.75" hidden="1">
      <c r="A56" s="52" t="s">
        <v>54</v>
      </c>
    </row>
    <row r="57" ht="12.75" hidden="1">
      <c r="A57" s="52" t="s">
        <v>137</v>
      </c>
    </row>
    <row r="58" ht="12.75" hidden="1">
      <c r="A58" s="52" t="s">
        <v>138</v>
      </c>
    </row>
    <row r="59" ht="12.75" hidden="1">
      <c r="A59" s="52" t="s">
        <v>59</v>
      </c>
    </row>
    <row r="60" spans="1:7" ht="13.8" hidden="1">
      <c r="A60" s="72"/>
      <c r="B60" s="71"/>
      <c r="C60" s="71"/>
      <c r="D60" s="71"/>
      <c r="E60" s="71"/>
      <c r="F60" s="71"/>
      <c r="G60" s="71"/>
    </row>
  </sheetData>
  <sheetProtection sheet="1" objects="1" scenarios="1"/>
  <mergeCells count="55">
    <mergeCell ref="J50:L50"/>
    <mergeCell ref="J29:R29"/>
    <mergeCell ref="I26:L26"/>
    <mergeCell ref="I27:L27"/>
    <mergeCell ref="P27:R27"/>
    <mergeCell ref="O45:R45"/>
    <mergeCell ref="I31:R31"/>
    <mergeCell ref="I35:R35"/>
    <mergeCell ref="O42:R42"/>
    <mergeCell ref="J49:L49"/>
    <mergeCell ref="I40:R40"/>
    <mergeCell ref="I46:L46"/>
    <mergeCell ref="O46:R46"/>
    <mergeCell ref="J47:L47"/>
    <mergeCell ref="P47:R47"/>
    <mergeCell ref="J48:L48"/>
    <mergeCell ref="T16:U24"/>
    <mergeCell ref="I42:L42"/>
    <mergeCell ref="I18:L18"/>
    <mergeCell ref="I19:L19"/>
    <mergeCell ref="I20:L20"/>
    <mergeCell ref="I21:L21"/>
    <mergeCell ref="I22:L22"/>
    <mergeCell ref="I23:L23"/>
    <mergeCell ref="I24:L24"/>
    <mergeCell ref="I25:L25"/>
    <mergeCell ref="R16:R17"/>
    <mergeCell ref="I37:R37"/>
    <mergeCell ref="P32:P33"/>
    <mergeCell ref="M32:O32"/>
    <mergeCell ref="M33:O33"/>
    <mergeCell ref="L32:L33"/>
    <mergeCell ref="I11:P11"/>
    <mergeCell ref="Q11:R11"/>
    <mergeCell ref="I4:J4"/>
    <mergeCell ref="K4:R4"/>
    <mergeCell ref="I5:J5"/>
    <mergeCell ref="K5:R5"/>
    <mergeCell ref="I7:R7"/>
    <mergeCell ref="I8:R8"/>
    <mergeCell ref="I10:P10"/>
    <mergeCell ref="Q10:R10"/>
    <mergeCell ref="P48:R48"/>
    <mergeCell ref="I45:L45"/>
    <mergeCell ref="I43:L43"/>
    <mergeCell ref="Q13:R13"/>
    <mergeCell ref="I14:P14"/>
    <mergeCell ref="Q14:R14"/>
    <mergeCell ref="M16:M17"/>
    <mergeCell ref="I13:P13"/>
    <mergeCell ref="P16:P17"/>
    <mergeCell ref="Q16:Q17"/>
    <mergeCell ref="N16:N17"/>
    <mergeCell ref="I16:L17"/>
    <mergeCell ref="O16:O17"/>
  </mergeCells>
  <conditionalFormatting sqref="O42">
    <cfRule type="expression" priority="6" dxfId="259" stopIfTrue="1">
      <formula>$O$42=""</formula>
    </cfRule>
  </conditionalFormatting>
  <conditionalFormatting sqref="O18:O27">
    <cfRule type="expression" priority="11" dxfId="264" stopIfTrue="1">
      <formula>AND(O18&lt;&gt;"OK",O18&lt;&gt;"-",O18&lt;&gt;"")</formula>
    </cfRule>
    <cfRule type="cellIs" priority="12" dxfId="263" operator="equal" stopIfTrue="1">
      <formula>"OK"</formula>
    </cfRule>
  </conditionalFormatting>
  <conditionalFormatting sqref="I26:N26">
    <cfRule type="expression" priority="10" dxfId="262" stopIfTrue="1">
      <formula>$Q$11="Não"</formula>
    </cfRule>
  </conditionalFormatting>
  <conditionalFormatting sqref="I27:N27">
    <cfRule type="expression" priority="9" dxfId="261" stopIfTrue="1">
      <formula>$Q$11="sim"</formula>
    </cfRule>
  </conditionalFormatting>
  <conditionalFormatting sqref="P27:R27">
    <cfRule type="expression" priority="8" dxfId="260" stopIfTrue="1">
      <formula>$Q$11="sim"</formula>
    </cfRule>
  </conditionalFormatting>
  <conditionalFormatting sqref="P47:R48">
    <cfRule type="expression" priority="7" dxfId="259" stopIfTrue="1">
      <formula>P47=""</formula>
    </cfRule>
  </conditionalFormatting>
  <conditionalFormatting sqref="I29:R29">
    <cfRule type="expression" priority="3" dxfId="258" stopIfTrue="1">
      <formula>AND(NOT($V$27),NOT($V$29))</formula>
    </cfRule>
  </conditionalFormatting>
  <conditionalFormatting sqref="P18:R26">
    <cfRule type="expression" priority="2" dxfId="257" stopIfTrue="1">
      <formula>$I$11=$A$58</formula>
    </cfRule>
  </conditionalFormatting>
  <dataValidations count="6">
    <dataValidation type="list" allowBlank="1" showInputMessage="1" showErrorMessage="1" sqref="I11:P11">
      <formula1>$A$52:$A$59</formula1>
    </dataValidation>
    <dataValidation operator="greaterThanOrEqual" allowBlank="1" showInputMessage="1" showErrorMessage="1" errorTitle="Erro de valores" error="Digite um valor igual a 0% ou 2%." sqref="N25"/>
    <dataValidation type="decimal" allowBlank="1" showInputMessage="1" showErrorMessage="1" errorTitle="Erro de valores" error="Digite um valor maior do que 0." sqref="N24">
      <formula1>0</formula1>
      <formula2>1</formula2>
    </dataValidation>
    <dataValidation type="decimal" allowBlank="1" showInputMessage="1" showErrorMessage="1" promptTitle="Valores admissíveis:" prompt="Insira valores entre 0 e 100%." errorTitle="Valor não permitido" error="Digite um percentual entre 0% e 100%." sqref="Q13:R13">
      <formula1>0</formula1>
      <formula2>1</formula2>
    </dataValidation>
    <dataValidation type="decimal" operator="greaterThanOrEqual" allowBlank="1" showInputMessage="1" showErrorMessage="1" promptTitle="Valores comuns:" prompt="Normalmente entre 2 e 5%." errorTitle="Valor não permitido" error="Digite um percentual entre 0% e 100%." sqref="Q14:R14">
      <formula1>0</formula1>
    </dataValidation>
    <dataValidation type="decimal" allowBlank="1" showInputMessage="1" showErrorMessage="1" errorTitle="Erro de valores" error="Digite um valor entre 0% e 100%" sqref="N18:N23">
      <formula1>0</formula1>
      <formula2>1</formula2>
    </dataValidation>
  </dataValidations>
  <printOptions/>
  <pageMargins left="0.78740157480315" right="0.78740157480315" top="0.78740157480315" bottom="0.78740157480315" header="0.590551181102362" footer="0.590551181102362"/>
  <pageSetup fitToHeight="1" fitToWidth="1" horizontalDpi="600" verticalDpi="600" orientation="portrait" paperSize="9" scale="78" r:id="rId3"/>
  <headerFooter alignWithMargins="0">
    <oddHeader>&amp;C&amp;14I</oddHeader>
    <oddFooter>&amp;L27.476 v008   micro&amp;R&amp;P</oddFooter>
  </headerFooter>
  <ignoredErrors>
    <ignoredError sqref="V27" unlockedFormula="1"/>
    <ignoredError sqref="P32" numberStoredAsText="1"/>
  </ignoredErrors>
  <drawing r:id="rId2"/>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1">
    <tabColor rgb="FFFFFF00"/>
    <pageSetUpPr fitToPage="1"/>
  </sheetPr>
  <dimension ref="A1:AA72"/>
  <sheetViews>
    <sheetView showGridLines="0" tabSelected="1" zoomScale="80" zoomScaleNormal="80" zoomScaleSheetLayoutView="100" workbookViewId="0" topLeftCell="A1">
      <pane ySplit="12" topLeftCell="A13" activePane="bottomLeft" state="frozen"/>
      <selection pane="bottomLeft" activeCell="Q53" sqref="Q53"/>
    </sheetView>
  </sheetViews>
  <sheetFormatPr defaultColWidth="9.140625" defaultRowHeight="12.75"/>
  <cols>
    <col min="1" max="2" width="6.7109375" style="0" hidden="1" customWidth="1"/>
    <col min="3" max="7" width="5.7109375" style="0" hidden="1" customWidth="1"/>
    <col min="8" max="9" width="6.7109375" style="0" hidden="1" customWidth="1"/>
    <col min="10" max="10" width="8.7109375" style="0" customWidth="1"/>
    <col min="11" max="11" width="12.7109375" style="0" customWidth="1"/>
    <col min="12" max="13" width="15.7109375" style="0" customWidth="1"/>
    <col min="14" max="14" width="80.7109375" style="0" customWidth="1"/>
    <col min="15" max="15" width="10.7109375" style="0" customWidth="1"/>
    <col min="16" max="17" width="15.7109375" style="0" customWidth="1"/>
    <col min="18" max="18" width="10.7109375" style="0" customWidth="1"/>
    <col min="19" max="21" width="15.7109375" style="0" customWidth="1"/>
    <col min="22" max="22" width="9.140625" style="0" hidden="1" customWidth="1"/>
    <col min="23" max="23" width="15.7109375" style="0" hidden="1" customWidth="1"/>
    <col min="24" max="24" width="20.7109375" style="0" hidden="1" customWidth="1"/>
    <col min="25" max="25" width="15.7109375" style="0" customWidth="1"/>
  </cols>
  <sheetData>
    <row r="1" spans="1:27" ht="12.9" customHeight="1">
      <c r="A1" s="79"/>
      <c r="B1" s="79"/>
      <c r="D1" s="117"/>
      <c r="E1" s="118"/>
      <c r="F1" s="79"/>
      <c r="G1" s="79"/>
      <c r="H1" s="79"/>
      <c r="I1" s="79"/>
      <c r="J1" s="80"/>
      <c r="K1" s="79"/>
      <c r="L1" s="79"/>
      <c r="M1" s="79"/>
      <c r="N1" s="99" t="s">
        <v>166</v>
      </c>
      <c r="O1" s="79"/>
      <c r="P1" s="81"/>
      <c r="Q1" s="79"/>
      <c r="R1" s="79"/>
      <c r="S1" s="79"/>
      <c r="T1" s="77" t="s">
        <v>164</v>
      </c>
      <c r="U1" s="4"/>
      <c r="V1" s="4"/>
      <c r="W1" s="4"/>
      <c r="X1" s="4"/>
      <c r="Y1" s="4"/>
      <c r="Z1" s="4"/>
      <c r="AA1" s="4"/>
    </row>
    <row r="2" spans="1:27" ht="12.75" customHeight="1">
      <c r="A2" s="4"/>
      <c r="B2" s="20" t="s">
        <v>156</v>
      </c>
      <c r="C2" s="20" t="s">
        <v>99</v>
      </c>
      <c r="D2" s="20" t="s">
        <v>100</v>
      </c>
      <c r="E2" s="20" t="s">
        <v>101</v>
      </c>
      <c r="F2" s="20" t="s">
        <v>102</v>
      </c>
      <c r="G2" s="20" t="s">
        <v>103</v>
      </c>
      <c r="H2" s="4"/>
      <c r="I2" s="4"/>
      <c r="J2" s="4"/>
      <c r="K2" s="4"/>
      <c r="L2" s="4"/>
      <c r="M2" s="4"/>
      <c r="N2" s="102" t="str">
        <f>CHOOSE(1+LOG(1+2*(TipoOrçamento="BASE")+4*(TipoOrçamento="LICITADO")+8*(TipoOrçamento="REPROGRAMADOAC")+16*(TipoOrçamento="REPROGRAMADONPL"),2),"nada","Orçamento Base para Licitação","Orçamento Licitado","Orçamento Licitado Reprogramado","Orçamento Base para Licitação - Reprogramado")</f>
        <v>Orçamento Base para Licitação</v>
      </c>
      <c r="O2" s="4"/>
      <c r="P2" s="4"/>
      <c r="Q2" s="4"/>
      <c r="R2" s="4"/>
      <c r="S2" s="4"/>
      <c r="T2" s="78" t="s">
        <v>165</v>
      </c>
      <c r="U2" s="4"/>
      <c r="V2" s="4"/>
      <c r="W2" s="354" t="s">
        <v>180</v>
      </c>
      <c r="X2" s="354"/>
      <c r="Y2" s="4"/>
      <c r="Z2" s="4"/>
      <c r="AA2" s="4"/>
    </row>
    <row r="3" spans="1:27" ht="12.75" customHeight="1">
      <c r="A3" s="4"/>
      <c r="B3" s="4"/>
      <c r="D3" s="117"/>
      <c r="F3" s="5"/>
      <c r="G3" s="4"/>
      <c r="H3" s="4"/>
      <c r="I3" s="4"/>
      <c r="J3" s="4"/>
      <c r="K3" s="4"/>
      <c r="L3" s="4"/>
      <c r="M3" s="4"/>
      <c r="N3" s="131"/>
      <c r="O3" s="4"/>
      <c r="P3" s="4"/>
      <c r="Q3" s="4"/>
      <c r="R3" s="4"/>
      <c r="S3" s="4"/>
      <c r="T3" s="4"/>
      <c r="U3" s="4"/>
      <c r="V3" s="4"/>
      <c r="W3" s="211" t="s">
        <v>147</v>
      </c>
      <c r="X3" s="214" t="b">
        <v>1</v>
      </c>
      <c r="Y3" s="4"/>
      <c r="Z3" s="4"/>
      <c r="AA3" s="4"/>
    </row>
    <row r="4" spans="1:27" ht="24.9" customHeight="1">
      <c r="A4" s="4" t="s">
        <v>126</v>
      </c>
      <c r="B4" s="4"/>
      <c r="D4" s="117"/>
      <c r="F4" s="5"/>
      <c r="G4" s="4"/>
      <c r="H4" s="4"/>
      <c r="I4" s="4"/>
      <c r="J4" s="4"/>
      <c r="K4" s="4"/>
      <c r="L4" s="4"/>
      <c r="M4" s="4"/>
      <c r="N4" s="4"/>
      <c r="O4" s="4"/>
      <c r="P4" s="4"/>
      <c r="Q4" s="4"/>
      <c r="R4" s="4"/>
      <c r="S4" s="4"/>
      <c r="T4" s="4"/>
      <c r="U4" s="153" t="s">
        <v>187</v>
      </c>
      <c r="W4" s="211" t="s">
        <v>181</v>
      </c>
      <c r="X4" s="214" t="b">
        <v>1</v>
      </c>
      <c r="Y4" s="4"/>
      <c r="Z4" s="4"/>
      <c r="AA4" s="4"/>
    </row>
    <row r="5" spans="1:27" ht="24.9" customHeight="1">
      <c r="A5" s="9">
        <f>MAX($A$12:$A$57)</f>
        <v>2</v>
      </c>
      <c r="B5" s="4"/>
      <c r="D5" s="117"/>
      <c r="F5" s="5"/>
      <c r="G5" s="4"/>
      <c r="H5" s="4"/>
      <c r="I5" s="4"/>
      <c r="J5" s="4"/>
      <c r="K5" s="4"/>
      <c r="L5" s="4"/>
      <c r="M5" s="4"/>
      <c r="N5" s="4"/>
      <c r="O5" s="4"/>
      <c r="P5" s="4"/>
      <c r="Q5" s="4"/>
      <c r="R5" s="4"/>
      <c r="S5" s="4"/>
      <c r="T5" s="4"/>
      <c r="U5" s="119" t="str">
        <f ca="1">IF(COUNTIF($U$12:OFFSET($U$57,-1,0),"DESCRIÇÃO")+COUNTIF($U$12:OFFSET($U$57,-1,0),"UNIDADE")+COUNTIF($U$12:OFFSET($U$57,-1,0),"SEM VALOR")&gt;0,"NÃO OK","OK")</f>
        <v>OK</v>
      </c>
      <c r="V5" s="212" t="s">
        <v>106</v>
      </c>
      <c r="W5" s="211" t="s">
        <v>182</v>
      </c>
      <c r="X5" s="214" t="b">
        <v>1</v>
      </c>
      <c r="Y5" s="4"/>
      <c r="Z5" s="4"/>
      <c r="AA5" s="4"/>
    </row>
    <row r="6" spans="1:27" ht="24.9" customHeight="1">
      <c r="A6" s="4"/>
      <c r="B6" s="4"/>
      <c r="D6" s="117"/>
      <c r="F6" s="5"/>
      <c r="G6" s="4"/>
      <c r="H6" s="4"/>
      <c r="I6" s="4"/>
      <c r="J6" s="4"/>
      <c r="K6" s="82"/>
      <c r="L6" s="4"/>
      <c r="M6" s="4"/>
      <c r="N6" s="4"/>
      <c r="O6" s="4"/>
      <c r="P6" s="4"/>
      <c r="Q6" s="4"/>
      <c r="R6" s="4"/>
      <c r="S6" s="4"/>
      <c r="T6" s="4"/>
      <c r="U6" s="4"/>
      <c r="V6" s="4"/>
      <c r="W6" s="211" t="s">
        <v>183</v>
      </c>
      <c r="X6" s="214" t="b">
        <v>1</v>
      </c>
      <c r="Y6" s="4"/>
      <c r="Z6" s="4"/>
      <c r="AA6" s="4"/>
    </row>
    <row r="7" spans="1:27" ht="24.9" customHeight="1">
      <c r="A7" s="4"/>
      <c r="B7" s="4"/>
      <c r="C7" s="20"/>
      <c r="D7" s="117"/>
      <c r="E7" s="5"/>
      <c r="F7" s="5"/>
      <c r="G7" s="4"/>
      <c r="H7" s="4"/>
      <c r="I7" s="4"/>
      <c r="J7" s="4"/>
      <c r="K7" s="82"/>
      <c r="L7" s="4"/>
      <c r="M7" s="4"/>
      <c r="N7" s="4"/>
      <c r="O7" s="4"/>
      <c r="P7" s="4"/>
      <c r="Q7" s="4"/>
      <c r="R7" s="4"/>
      <c r="S7" s="4"/>
      <c r="T7" s="4"/>
      <c r="U7" s="4"/>
      <c r="V7" s="4"/>
      <c r="W7" s="211" t="s">
        <v>184</v>
      </c>
      <c r="X7" s="214" t="b">
        <v>1</v>
      </c>
      <c r="Y7" s="4"/>
      <c r="Z7" s="4"/>
      <c r="AA7" s="4"/>
    </row>
    <row r="8" spans="1:27" ht="30" customHeight="1">
      <c r="A8" s="4"/>
      <c r="B8" s="4"/>
      <c r="C8" s="20"/>
      <c r="D8" s="20"/>
      <c r="E8" s="5"/>
      <c r="F8" s="5"/>
      <c r="G8" s="4"/>
      <c r="H8" s="4"/>
      <c r="I8" s="4"/>
      <c r="J8" s="4"/>
      <c r="K8" s="4"/>
      <c r="L8" s="4"/>
      <c r="M8" s="4"/>
      <c r="N8" s="4"/>
      <c r="O8" s="4"/>
      <c r="P8" s="4"/>
      <c r="Q8" s="4"/>
      <c r="R8" s="4"/>
      <c r="S8" s="4"/>
      <c r="T8" s="4"/>
      <c r="U8" s="4"/>
      <c r="V8" s="4"/>
      <c r="W8" s="4"/>
      <c r="X8" s="4"/>
      <c r="Y8" s="4"/>
      <c r="Z8" s="4"/>
      <c r="AA8" s="4"/>
    </row>
    <row r="9" spans="1:27" ht="12.75" customHeight="1" hidden="1">
      <c r="A9" s="4"/>
      <c r="B9" s="4"/>
      <c r="C9" s="20"/>
      <c r="D9" s="20"/>
      <c r="E9" s="5"/>
      <c r="F9" s="5"/>
      <c r="G9" s="4"/>
      <c r="H9" s="4"/>
      <c r="I9" s="4"/>
      <c r="J9" s="4"/>
      <c r="K9" s="4"/>
      <c r="L9" s="4"/>
      <c r="M9" s="4"/>
      <c r="N9" s="4"/>
      <c r="O9" s="4"/>
      <c r="P9" s="224" t="str">
        <f ca="1">OFFSET(PLQ!$E$12,ROW($P9)-ROW(P$12),0)</f>
        <v>-</v>
      </c>
      <c r="Q9" s="4"/>
      <c r="R9" s="4"/>
      <c r="S9" s="4"/>
      <c r="T9" s="4"/>
      <c r="U9" s="4"/>
      <c r="V9" s="4"/>
      <c r="W9" s="4"/>
      <c r="X9" s="4"/>
      <c r="Y9" s="4"/>
      <c r="Z9" s="4"/>
      <c r="AA9" s="4"/>
    </row>
    <row r="10" spans="1:27" ht="30" customHeight="1">
      <c r="A10" s="74" t="s">
        <v>3</v>
      </c>
      <c r="B10" s="74" t="s">
        <v>123</v>
      </c>
      <c r="C10" s="74" t="s">
        <v>151</v>
      </c>
      <c r="D10" s="74" t="s">
        <v>152</v>
      </c>
      <c r="E10" s="74" t="s">
        <v>153</v>
      </c>
      <c r="F10" s="74" t="s">
        <v>154</v>
      </c>
      <c r="G10" s="74" t="s">
        <v>155</v>
      </c>
      <c r="H10" s="74" t="s">
        <v>124</v>
      </c>
      <c r="I10" s="74" t="s">
        <v>125</v>
      </c>
      <c r="J10" s="74" t="s">
        <v>3</v>
      </c>
      <c r="K10" s="74" t="s">
        <v>146</v>
      </c>
      <c r="L10" s="74" t="s">
        <v>145</v>
      </c>
      <c r="M10" s="74" t="s">
        <v>4</v>
      </c>
      <c r="N10" s="74" t="s">
        <v>141</v>
      </c>
      <c r="O10" s="75" t="s">
        <v>148</v>
      </c>
      <c r="P10" s="74" t="s">
        <v>147</v>
      </c>
      <c r="Q10" s="74" t="str">
        <f>IF(OR(TipoOrçamento="LICITADO",TipoOrçamento="REPROGRAMADOAC"),"Preço Unitário (R$)","Custo Unitário (R$)")</f>
        <v>Custo Unitário (R$)</v>
      </c>
      <c r="R10" s="74" t="s">
        <v>5</v>
      </c>
      <c r="S10" s="74" t="s">
        <v>150</v>
      </c>
      <c r="T10" s="74" t="s">
        <v>6</v>
      </c>
      <c r="U10" s="74" t="s">
        <v>158</v>
      </c>
      <c r="V10" s="116" t="s">
        <v>160</v>
      </c>
      <c r="W10" s="116" t="s">
        <v>122</v>
      </c>
      <c r="X10" s="116" t="s">
        <v>130</v>
      </c>
      <c r="Y10" s="115" t="str">
        <f>IF(TipoOrçamento="LICITADO","Preço Unitário Edital (R$)","Custo Unitário Referência (R$)")</f>
        <v>Custo Unitário Referência (R$)</v>
      </c>
      <c r="Z10" s="147" t="str">
        <f>IF(TipoOrçamento="LICITADO","Valor BDI Edital","Valor BDI")</f>
        <v>Valor BDI</v>
      </c>
      <c r="AA10" s="4"/>
    </row>
    <row r="11" spans="1:27" ht="12.75" hidden="1">
      <c r="A11" t="str">
        <f>CHOOSE(1+LOG(1+2*(J11="Meta")+4*(J11="Nível 2")+8*(J11="Nível 3")+16*(J11="Nível 4")+32*(J11="Serviço"),2),0,1,2,3,4,"S")</f>
        <v>S</v>
      </c>
      <c r="B11">
        <f>IF(OR(A11="S",A11=0),0,IF(ISERROR(I11),H11,SMALL(H11:I11,1)))</f>
        <v>0</v>
      </c>
      <c r="C11" t="str">
        <f ca="1">IF($A11=1,OFFSET(C11,-1,0)+1,OFFSET(C11,-1,0))</f>
        <v>n1</v>
      </c>
      <c r="D11" t="str">
        <f ca="1">IF($A11=1,0,IF($A11=2,OFFSET(D11,-1,0)+1,OFFSET(D11,-1,0)))</f>
        <v>n2</v>
      </c>
      <c r="E11" t="str">
        <f ca="1">IF(AND($A11&lt;=2,$A11&lt;&gt;0),0,IF($A11=3,OFFSET(E11,-1,0)+1,OFFSET(E11,-1,0)))</f>
        <v>n3</v>
      </c>
      <c r="F11" t="str">
        <f ca="1">IF(AND($A11&lt;=3,$A11&lt;&gt;0),0,IF($A11=4,OFFSET(F11,-1,0)+1,OFFSET(F11,-1,0)))</f>
        <v>n4</v>
      </c>
      <c r="G11" t="e">
        <f ca="1">IF(AND($A11&lt;=4,$A11&lt;&gt;0),0,IF($A11="S",OFFSET(G11,-1,0)+1,OFFSET(G11,-1,0)))</f>
        <v>#VALUE!</v>
      </c>
      <c r="H11">
        <f ca="1">IF(OR($A11="S",$A11=0),0,MATCH(0,OFFSET($B11,1,$A11,ROW($A$57)-ROW($A11)),0))</f>
        <v>0</v>
      </c>
      <c r="I11">
        <f ca="1">IF(OR($A11="S",$A11=0),0,MATCH(OFFSET($B11,0,$A11)+1,OFFSET($B11,1,$A11,ROW($A$57)-ROW($A11)),0))</f>
        <v>0</v>
      </c>
      <c r="J11" s="120" t="s">
        <v>103</v>
      </c>
      <c r="K11" s="162" t="e">
        <f ca="1">IF($A11=0,"-",CONCATENATE(C11&amp;".",IF(AND($A$5&gt;=2,$A11&gt;=2),D11&amp;".",""),IF(AND($A$5&gt;=3,$A11&gt;=3),E11&amp;".",""),IF(AND($A$5&gt;=4,$A11&gt;=4),F11&amp;".",""),IF($A11="S",G11&amp;".","")))</f>
        <v>#VALUE!</v>
      </c>
      <c r="L11" s="209"/>
      <c r="M11" s="209"/>
      <c r="N11" s="230" t="str">
        <f ca="1">IF($A11="S",Referencia.Descricao,"(digite a descrição aqui)")</f>
        <v/>
      </c>
      <c r="O11" s="229" t="str">
        <f ca="1">Referencia.Unidade</f>
        <v/>
      </c>
      <c r="P11" s="232">
        <f ca="1">OFFSET(PLQ!$E$12,ROW($P11)-ROW(P$12),0)</f>
        <v>0</v>
      </c>
      <c r="Q11" s="228"/>
      <c r="R11" s="231" t="s">
        <v>7</v>
      </c>
      <c r="S11" s="121">
        <f ca="1">IF($A11="S",IF($Q$10="Preço Unitário (R$)",PO.CustoUnitario,ROUND(PO.CustoUnitario*(1+$Z11),15-13*$X$6)),0)</f>
        <v>0</v>
      </c>
      <c r="T11" s="98">
        <f ca="1">IF($A11="S",VTOTAL1,IF($A11=0,0,ROUND(SomaAgrup,15-13*$X$7)))</f>
        <v>0</v>
      </c>
      <c r="U11" s="13" t="str">
        <f ca="1">IF($J11="","",IF($N11="","DESCRIÇÃO",IF(AND($J11="Serviço",$O11=""),"UNIDADE",IF($T11&lt;=0,"SEM VALOR",IF(AND($Y11&lt;&gt;"",$Q11&gt;$Y11),"ACIMA REF.","")))))</f>
        <v>DESCRIÇÃO</v>
      </c>
      <c r="V11" s="4" t="str">
        <f ca="1">IF(OR($A11=0,$A11="S",$A11&gt;CFF!$A$9),"",MAX(V$12:OFFSET(V11,-1,0))+1)</f>
        <v/>
      </c>
      <c r="W11" s="9" t="b">
        <f>IF(AND($J11="Serviço",$M11&lt;&gt;""),IF($L11="",$M11,CONCATENATE($L11,"-",$M11)))</f>
        <v>0</v>
      </c>
      <c r="X11" s="4" t="str">
        <f ca="1">IF(AND(Fonte&lt;&gt;"",Código&lt;&gt;""),MATCH(Fonte&amp;" "&amp;IF(Fonte="sinapi",SUBSTITUTE(SUBSTITUTE(Código,"/00","/"),"/0","/"),Código),INDIRECT("'[Referência "&amp;_XLNM.DATABASE&amp;".xls]Banco'!$a:$a"),0),"X")</f>
        <v>X</v>
      </c>
      <c r="Y11" s="121">
        <f ca="1">IF(Import.Desoneracao="sim",Referencia.Desonerado,Referencia.NaoDesonerado)</f>
        <v>0</v>
      </c>
      <c r="Z11" s="132">
        <f ca="1">ROUND(IF(ISNUMBER(R11),R11,IF(LEFT(R11,3)="BDI",HLOOKUP(R11,DADOS!$T$37:$X$38,2,FALSE),0)),15-11*$X$5)</f>
        <v>0.2009</v>
      </c>
      <c r="AA11" s="4"/>
    </row>
    <row r="12" spans="1:27" ht="12.75">
      <c r="A12">
        <v>0</v>
      </c>
      <c r="B12">
        <f ca="1">COUNTA(OFFSET(B12,1,0):B$57)</f>
        <v>44</v>
      </c>
      <c r="J12" s="76" t="str">
        <f>IF(OR(TipoOrçamento="LICITADO",TipoOrçamento="REPROGRAMADOAC"),"CTEF","LOTE")</f>
        <v>LOTE</v>
      </c>
      <c r="K12" s="163">
        <v>0</v>
      </c>
      <c r="L12" s="10"/>
      <c r="M12" s="10"/>
      <c r="N12" s="87" t="str">
        <f>IF(TipoOrçamento="LICITADO",DADOS!O43,DADOS!G38)</f>
        <v xml:space="preserve">Trechos de Vias Públicas de Área Urbana </v>
      </c>
      <c r="O12" s="10"/>
      <c r="P12" s="11"/>
      <c r="Q12" s="11"/>
      <c r="R12" s="12"/>
      <c r="S12" s="11"/>
      <c r="T12" s="97">
        <f ca="1">SUMIF(OFFSET($J12,1,0,ROW(T57)-ROW(T12)-1),"Serviço",OFFSET(T12,1,0,ROW(T57)-ROW(T12)-1))</f>
        <v>275619.5</v>
      </c>
      <c r="U12" s="13" t="str">
        <f>IF($N12=0,"DESCRIÇÃO","")</f>
        <v/>
      </c>
      <c r="V12" s="4">
        <v>0</v>
      </c>
      <c r="W12" s="4"/>
      <c r="X12" s="4"/>
      <c r="Y12" s="11"/>
      <c r="Z12" s="133"/>
      <c r="AA12" s="4"/>
    </row>
    <row r="13" spans="1:27" ht="12.75">
      <c r="A13">
        <f aca="true" t="shared" si="0" ref="A13:A29">CHOOSE(1+LOG(1+2*(J13="Meta")+4*(J13="Nível 2")+8*(J13="Nível 3")+16*(J13="Nível 4")+32*(J13="Serviço"),2),0,1,2,3,4,"S")</f>
        <v>1</v>
      </c>
      <c r="B13">
        <f aca="true" t="shared" si="1" ref="B13:B29">IF(OR(A13="S",A13=0),0,IF(ISERROR(I13),H13,SMALL(H13:I13,1)))</f>
        <v>18</v>
      </c>
      <c r="C13">
        <f aca="true" ca="1" t="shared" si="2" ref="C13:C29">IF($A13=1,OFFSET(C13,-1,0)+1,OFFSET(C13,-1,0))</f>
        <v>1</v>
      </c>
      <c r="D13">
        <f aca="true" ca="1" t="shared" si="3" ref="D13:D29">IF($A13=1,0,IF($A13=2,OFFSET(D13,-1,0)+1,OFFSET(D13,-1,0)))</f>
        <v>0</v>
      </c>
      <c r="E13">
        <f aca="true" ca="1" t="shared" si="4" ref="E13:E29">IF(AND($A13&lt;=2,$A13&lt;&gt;0),0,IF($A13=3,OFFSET(E13,-1,0)+1,OFFSET(E13,-1,0)))</f>
        <v>0</v>
      </c>
      <c r="F13">
        <f aca="true" ca="1" t="shared" si="5" ref="F13:F29">IF(AND($A13&lt;=3,$A13&lt;&gt;0),0,IF($A13=4,OFFSET(F13,-1,0)+1,OFFSET(F13,-1,0)))</f>
        <v>0</v>
      </c>
      <c r="G13">
        <f aca="true" ca="1" t="shared" si="6" ref="G13:G29">IF(AND($A13&lt;=4,$A13&lt;&gt;0),0,IF($A13="S",OFFSET(G13,-1,0)+1,OFFSET(G13,-1,0)))</f>
        <v>0</v>
      </c>
      <c r="H13">
        <f aca="true" ca="1" t="shared" si="7" ref="H13:H56">IF(OR($A13="S",$A13=0),0,MATCH(0,OFFSET($B13,1,$A13,ROW($A$57)-ROW($A13)),0))</f>
        <v>44</v>
      </c>
      <c r="I13">
        <f aca="true" ca="1" t="shared" si="8" ref="I13:I56">IF(OR($A13="S",$A13=0),0,MATCH(OFFSET($B13,0,$A13)+1,OFFSET($B13,1,$A13,ROW($A$57)-ROW($A13)),0))</f>
        <v>18</v>
      </c>
      <c r="J13" s="164" t="s">
        <v>99</v>
      </c>
      <c r="K13" s="162" t="str">
        <f aca="true" t="shared" si="9" ref="K13:K29">IF($A13=0,"-",CONCATENATE(C13&amp;".",IF(AND($A$5&gt;=2,$A13&gt;=2),D13&amp;".",""),IF(AND($A$5&gt;=3,$A13&gt;=3),E13&amp;".",""),IF(AND($A$5&gt;=4,$A13&gt;=4),F13&amp;".",""),IF($A13="S",G13&amp;".","")))</f>
        <v>1.</v>
      </c>
      <c r="L13" s="209"/>
      <c r="M13" s="209"/>
      <c r="N13" s="230" t="s">
        <v>262</v>
      </c>
      <c r="O13" s="229" t="s">
        <v>106</v>
      </c>
      <c r="P13" s="232">
        <f ca="1">OFFSET(PLQ!$E$12,ROW($P13)-ROW(P$12),0)</f>
        <v>0</v>
      </c>
      <c r="Q13" s="228"/>
      <c r="R13" s="231" t="s">
        <v>7</v>
      </c>
      <c r="S13" s="121">
        <f aca="true" t="shared" si="10" ref="S13:S29">IF($A13="S",IF($Q$10="Preço Unitário (R$)",PO.CustoUnitario,ROUND(PO.CustoUnitario*(1+$Z13),15-13*$X$6)),0)</f>
        <v>0</v>
      </c>
      <c r="T13" s="98">
        <f aca="true" ca="1" t="shared" si="11" ref="T13:T29">IF($A13="S",VTOTAL1,IF($A13=0,0,ROUND(SomaAgrup,15-13*$X$7)))</f>
        <v>111487</v>
      </c>
      <c r="U13" s="13" t="str">
        <f aca="true" t="shared" si="12" ref="U13:U29">IF($J13="","",IF($N13="","DESCRIÇÃO",IF(AND($J13="Serviço",$O13=""),"UNIDADE",IF($T13&lt;=0,"SEM VALOR",IF(AND($Y13&lt;&gt;"",$Q13&gt;$Y13),"ACIMA REF.","")))))</f>
        <v/>
      </c>
      <c r="V13" s="4">
        <f ca="1">IF(OR($A13=0,$A13="S",$A13&gt;CFF!$A$9),"",MAX(V$12:OFFSET(V13,-1,0))+1)</f>
        <v>1</v>
      </c>
      <c r="W13" s="9" t="b">
        <f aca="true" t="shared" si="13" ref="W13:W29">IF(AND($J13="Serviço",$M13&lt;&gt;""),IF($L13="",$M13,CONCATENATE($L13,"-",$M13)))</f>
        <v>0</v>
      </c>
      <c r="X13" s="4" t="str">
        <f aca="true" t="shared" si="14" ref="X13:X29">IF(AND(Fonte&lt;&gt;"",Código&lt;&gt;""),MATCH(Fonte&amp;" "&amp;IF(Fonte="sinapi",SUBSTITUTE(SUBSTITUTE(Código,"/00","/"),"/0","/"),Código),INDIRECT("'[Referência "&amp;_XLNM.DATABASE&amp;".xls]Banco'!$a:$a"),0),"X")</f>
        <v>X</v>
      </c>
      <c r="Y13" s="121">
        <f aca="true" t="shared" si="15" ref="Y13:Y29">IF(Import.Desoneracao="sim",Referencia.Desonerado,Referencia.NaoDesonerado)</f>
        <v>0</v>
      </c>
      <c r="Z13" s="132">
        <f ca="1">ROUND(IF(ISNUMBER(R13),R13,IF(LEFT(R13,3)="BDI",HLOOKUP(R13,DADOS!$T$37:$X$38,2,FALSE),0)),15-11*$X$5)</f>
        <v>0.2009</v>
      </c>
      <c r="AA13" s="4"/>
    </row>
    <row r="14" spans="1:27" ht="12.75">
      <c r="A14">
        <f t="shared" si="0"/>
        <v>2</v>
      </c>
      <c r="B14">
        <f ca="1" t="shared" si="1"/>
        <v>3</v>
      </c>
      <c r="C14">
        <f ca="1" t="shared" si="2"/>
        <v>1</v>
      </c>
      <c r="D14">
        <f ca="1" t="shared" si="3"/>
        <v>1</v>
      </c>
      <c r="E14">
        <f ca="1" t="shared" si="4"/>
        <v>0</v>
      </c>
      <c r="F14">
        <f ca="1" t="shared" si="5"/>
        <v>0</v>
      </c>
      <c r="G14">
        <f ca="1" t="shared" si="6"/>
        <v>0</v>
      </c>
      <c r="H14">
        <f ca="1" t="shared" si="7"/>
        <v>17</v>
      </c>
      <c r="I14">
        <f ca="1" t="shared" si="8"/>
        <v>3</v>
      </c>
      <c r="J14" s="120" t="s">
        <v>100</v>
      </c>
      <c r="K14" s="162" t="str">
        <f ca="1" t="shared" si="9"/>
        <v>1.1.</v>
      </c>
      <c r="L14" s="209"/>
      <c r="M14" s="209"/>
      <c r="N14" s="230" t="s">
        <v>229</v>
      </c>
      <c r="O14" s="229" t="str">
        <f ca="1">Referencia.Unidade</f>
        <v/>
      </c>
      <c r="P14" s="232">
        <f ca="1">OFFSET(PLQ!$E$12,ROW($P14)-ROW(P$12),0)</f>
        <v>0</v>
      </c>
      <c r="Q14" s="228"/>
      <c r="R14" s="231" t="s">
        <v>7</v>
      </c>
      <c r="S14" s="121">
        <f t="shared" si="10"/>
        <v>0</v>
      </c>
      <c r="T14" s="98">
        <f ca="1" t="shared" si="11"/>
        <v>975.5</v>
      </c>
      <c r="U14" s="13" t="str">
        <f ca="1" t="shared" si="12"/>
        <v/>
      </c>
      <c r="V14" s="4">
        <f ca="1">IF(OR($A14=0,$A14="S",$A14&gt;CFF!$A$9),"",MAX(V$12:OFFSET(V14,-1,0))+1)</f>
        <v>2</v>
      </c>
      <c r="W14" s="9" t="b">
        <f t="shared" si="13"/>
        <v>0</v>
      </c>
      <c r="X14" s="4" t="str">
        <f ca="1" t="shared" si="14"/>
        <v>X</v>
      </c>
      <c r="Y14" s="121">
        <f ca="1" t="shared" si="15"/>
        <v>0</v>
      </c>
      <c r="Z14" s="132">
        <f ca="1">ROUND(IF(ISNUMBER(R14),R14,IF(LEFT(R14,3)="BDI",HLOOKUP(R14,DADOS!$T$37:$X$38,2,FALSE),0)),15-11*$X$5)</f>
        <v>0.2009</v>
      </c>
      <c r="AA14" s="4"/>
    </row>
    <row r="15" spans="1:27" ht="12.75">
      <c r="A15" t="str">
        <f aca="true" t="shared" si="16" ref="A15:A16">CHOOSE(1+LOG(1+2*(J15="Meta")+4*(J15="Nível 2")+8*(J15="Nível 3")+16*(J15="Nível 4")+32*(J15="Serviço"),2),0,1,2,3,4,"S")</f>
        <v>S</v>
      </c>
      <c r="B15">
        <f aca="true" t="shared" si="17" ref="B15:B16">IF(OR(A15="S",A15=0),0,IF(ISERROR(I15),H15,SMALL(H15:I15,1)))</f>
        <v>0</v>
      </c>
      <c r="C15">
        <f aca="true" ca="1" t="shared" si="18" ref="C15:C16">IF($A15=1,OFFSET(C15,-1,0)+1,OFFSET(C15,-1,0))</f>
        <v>1</v>
      </c>
      <c r="D15">
        <f aca="true" ca="1" t="shared" si="19" ref="D15:D16">IF($A15=1,0,IF($A15=2,OFFSET(D15,-1,0)+1,OFFSET(D15,-1,0)))</f>
        <v>1</v>
      </c>
      <c r="E15">
        <f aca="true" ca="1" t="shared" si="20" ref="E15:E16">IF(AND($A15&lt;=2,$A15&lt;&gt;0),0,IF($A15=3,OFFSET(E15,-1,0)+1,OFFSET(E15,-1,0)))</f>
        <v>0</v>
      </c>
      <c r="F15">
        <f aca="true" ca="1" t="shared" si="21" ref="F15:F16">IF(AND($A15&lt;=3,$A15&lt;&gt;0),0,IF($A15=4,OFFSET(F15,-1,0)+1,OFFSET(F15,-1,0)))</f>
        <v>0</v>
      </c>
      <c r="G15">
        <f aca="true" ca="1" t="shared" si="22" ref="G15:G16">IF(AND($A15&lt;=4,$A15&lt;&gt;0),0,IF($A15="S",OFFSET(G15,-1,0)+1,OFFSET(G15,-1,0)))</f>
        <v>1</v>
      </c>
      <c r="H15">
        <f ca="1" t="shared" si="7"/>
        <v>0</v>
      </c>
      <c r="I15">
        <f ca="1" t="shared" si="8"/>
        <v>0</v>
      </c>
      <c r="J15" s="120" t="s">
        <v>103</v>
      </c>
      <c r="K15" s="162" t="str">
        <f aca="true" t="shared" si="23" ref="K15:K16">IF($A15=0,"-",CONCATENATE(C15&amp;".",IF(AND($A$5&gt;=2,$A15&gt;=2),D15&amp;".",""),IF(AND($A$5&gt;=3,$A15&gt;=3),E15&amp;".",""),IF(AND($A$5&gt;=4,$A15&gt;=4),F15&amp;".",""),IF($A15="S",G15&amp;".","")))</f>
        <v>1.1.1.</v>
      </c>
      <c r="L15" s="209" t="s">
        <v>266</v>
      </c>
      <c r="M15" s="209" t="s">
        <v>239</v>
      </c>
      <c r="N15" s="230" t="str">
        <f ca="1">IF($A15="S",Referencia.Descricao,"(digite a descrição aqui)")</f>
        <v>Placa de Obra 2,0 x 1,25 m</v>
      </c>
      <c r="O15" s="229" t="str">
        <f ca="1">Referencia.Unidade</f>
        <v>UNIDADE</v>
      </c>
      <c r="P15" s="232">
        <f ca="1">OFFSET(PLQ!$E$12,ROW($P15)-ROW(P$12),0)</f>
        <v>1</v>
      </c>
      <c r="Q15" s="228">
        <v>673.04</v>
      </c>
      <c r="R15" s="231" t="s">
        <v>7</v>
      </c>
      <c r="S15" s="121">
        <f ca="1">IF($A15="S",IF($Q$10="Preço Unitário (R$)",PO.CustoUnitario,ROUND(PO.CustoUnitario*(1+$Z15),15-13*$X$6)),0)</f>
        <v>808.25</v>
      </c>
      <c r="T15" s="98">
        <f ca="1">IF($A15="S",VTOTAL1,IF($A15=0,0,ROUND(SomaAgrup,15-13*$X$7)))</f>
        <v>808.25</v>
      </c>
      <c r="U15" s="13" t="str">
        <f aca="true" t="shared" si="24" ref="U15:U16">IF($J15="","",IF($N15="","DESCRIÇÃO",IF(AND($J15="Serviço",$O15=""),"UNIDADE",IF($T15&lt;=0,"SEM VALOR",IF(AND($Y15&lt;&gt;"",$Q15&gt;$Y15),"ACIMA REF.","")))))</f>
        <v/>
      </c>
      <c r="V15" s="4" t="str">
        <f ca="1">IF(OR($A15=0,$A15="S",$A15&gt;CFF!$A$9),"",MAX(V$12:OFFSET(V15,-1,0))+1)</f>
        <v/>
      </c>
      <c r="W15" s="9" t="str">
        <f aca="true" t="shared" si="25" ref="W15:W16">IF(AND($J15="Serviço",$M15&lt;&gt;""),IF($L15="",$M15,CONCATENATE($L15,"-",$M15)))</f>
        <v>Composição -01</v>
      </c>
      <c r="X15" s="4">
        <f ca="1">IF(AND(Fonte&lt;&gt;"",Código&lt;&gt;""),MATCH(Fonte&amp;" "&amp;IF(Fonte="sinapi",SUBSTITUTE(SUBSTITUTE(Código,"/00","/"),"/0","/"),Código),INDIRECT("'[Referência "&amp;_XLNM.DATABASE&amp;".xls]Banco'!$a:$a"),0),"X")</f>
        <v>7</v>
      </c>
      <c r="Y15" s="121">
        <f ca="1">IF(Import.Desoneracao="sim",Referencia.Desonerado,Referencia.NaoDesonerado)</f>
        <v>673.04</v>
      </c>
      <c r="Z15" s="132">
        <f ca="1">ROUND(IF(ISNUMBER(R15),R15,IF(LEFT(R15,3)="BDI",HLOOKUP(R15,DADOS!$T$37:$X$38,2,FALSE),0)),15-11*$X$5)</f>
        <v>0.2009</v>
      </c>
      <c r="AA15" s="4"/>
    </row>
    <row r="16" spans="1:27" ht="12.75">
      <c r="A16" t="str">
        <f t="shared" si="16"/>
        <v>S</v>
      </c>
      <c r="B16">
        <f t="shared" si="17"/>
        <v>0</v>
      </c>
      <c r="C16">
        <f ca="1" t="shared" si="18"/>
        <v>1</v>
      </c>
      <c r="D16">
        <f ca="1" t="shared" si="19"/>
        <v>1</v>
      </c>
      <c r="E16">
        <f ca="1" t="shared" si="20"/>
        <v>0</v>
      </c>
      <c r="F16">
        <f ca="1" t="shared" si="21"/>
        <v>0</v>
      </c>
      <c r="G16">
        <f ca="1" t="shared" si="22"/>
        <v>2</v>
      </c>
      <c r="H16">
        <f ca="1" t="shared" si="7"/>
        <v>0</v>
      </c>
      <c r="I16">
        <f ca="1" t="shared" si="8"/>
        <v>0</v>
      </c>
      <c r="J16" s="120" t="s">
        <v>103</v>
      </c>
      <c r="K16" s="162" t="str">
        <f ca="1" t="shared" si="23"/>
        <v>1.1.2.</v>
      </c>
      <c r="L16" s="209" t="s">
        <v>230</v>
      </c>
      <c r="M16" s="209" t="s">
        <v>240</v>
      </c>
      <c r="N16" s="230" t="str">
        <f ca="1">IF($A16="S",Referencia.Descricao,"(digite a descrição aqui)")</f>
        <v>REGULARIZAÇÃO DE SUPERFÍCIES COM MOTONIVELADORA. AF_11/2019</v>
      </c>
      <c r="O16" s="229" t="str">
        <f ca="1">Referencia.Unidade</f>
        <v>M2</v>
      </c>
      <c r="P16" s="232">
        <f ca="1">OFFSET(PLQ!$E$12,ROW($P16)-ROW(P$12),0)</f>
        <v>1286.5</v>
      </c>
      <c r="Q16" s="228">
        <v>0.11</v>
      </c>
      <c r="R16" s="231" t="s">
        <v>7</v>
      </c>
      <c r="S16" s="121">
        <f ca="1">IF($A16="S",IF($Q$10="Preço Unitário (R$)",PO.CustoUnitario,ROUND(PO.CustoUnitario*(1+$Z16),15-13*$X$6)),0)</f>
        <v>0.13</v>
      </c>
      <c r="T16" s="98">
        <f ca="1">IF($A16="S",VTOTAL1,IF($A16=0,0,ROUND(SomaAgrup,15-13*$X$7)))</f>
        <v>167.25</v>
      </c>
      <c r="U16" s="13" t="str">
        <f ca="1" t="shared" si="24"/>
        <v/>
      </c>
      <c r="V16" s="4" t="str">
        <f ca="1">IF(OR($A16=0,$A16="S",$A16&gt;CFF!$A$9),"",MAX(V$12:OFFSET(V16,-1,0))+1)</f>
        <v/>
      </c>
      <c r="W16" s="9" t="str">
        <f t="shared" si="25"/>
        <v>Sinapi-100575</v>
      </c>
      <c r="X16" s="4">
        <f ca="1">IF(AND(Fonte&lt;&gt;"",Código&lt;&gt;""),MATCH(Fonte&amp;" "&amp;IF(Fonte="sinapi",SUBSTITUTE(SUBSTITUTE(Código,"/00","/"),"/0","/"),Código),INDIRECT("'[Referência "&amp;_XLNM.DATABASE&amp;".xls]Banco'!$a:$a"),0),"X")</f>
        <v>5908</v>
      </c>
      <c r="Y16" s="121">
        <f ca="1">IF(Import.Desoneracao="sim",Referencia.Desonerado,Referencia.NaoDesonerado)</f>
        <v>0.13</v>
      </c>
      <c r="Z16" s="132">
        <f ca="1">ROUND(IF(ISNUMBER(R16),R16,IF(LEFT(R16,3)="BDI",HLOOKUP(R16,DADOS!$T$37:$X$38,2,FALSE),0)),15-11*$X$5)</f>
        <v>0.2009</v>
      </c>
      <c r="AA16" s="4"/>
    </row>
    <row r="17" spans="1:27" ht="12.75">
      <c r="A17">
        <f t="shared" si="0"/>
        <v>2</v>
      </c>
      <c r="B17">
        <f ca="1" t="shared" si="1"/>
        <v>8</v>
      </c>
      <c r="C17">
        <f ca="1" t="shared" si="2"/>
        <v>1</v>
      </c>
      <c r="D17">
        <f ca="1" t="shared" si="3"/>
        <v>2</v>
      </c>
      <c r="E17">
        <f ca="1" t="shared" si="4"/>
        <v>0</v>
      </c>
      <c r="F17">
        <f ca="1" t="shared" si="5"/>
        <v>0</v>
      </c>
      <c r="G17">
        <f ca="1" t="shared" si="6"/>
        <v>0</v>
      </c>
      <c r="H17">
        <f ca="1" t="shared" si="7"/>
        <v>14</v>
      </c>
      <c r="I17">
        <f ca="1" t="shared" si="8"/>
        <v>8</v>
      </c>
      <c r="J17" s="120" t="s">
        <v>100</v>
      </c>
      <c r="K17" s="162" t="str">
        <f ca="1" t="shared" si="9"/>
        <v>1.2.</v>
      </c>
      <c r="L17" s="209"/>
      <c r="M17" s="209"/>
      <c r="N17" s="230" t="s">
        <v>231</v>
      </c>
      <c r="O17" s="229" t="str">
        <f ca="1">Referencia.Unidade</f>
        <v/>
      </c>
      <c r="P17" s="232">
        <f ca="1">OFFSET(PLQ!$E$12,ROW($P17)-ROW(P$12),0)</f>
        <v>0</v>
      </c>
      <c r="Q17" s="228"/>
      <c r="R17" s="231" t="s">
        <v>7</v>
      </c>
      <c r="S17" s="121">
        <f t="shared" si="10"/>
        <v>0</v>
      </c>
      <c r="T17" s="98">
        <f ca="1" t="shared" si="11"/>
        <v>24069.92</v>
      </c>
      <c r="U17" s="13" t="str">
        <f ca="1" t="shared" si="12"/>
        <v/>
      </c>
      <c r="V17" s="4">
        <f ca="1">IF(OR($A17=0,$A17="S",$A17&gt;CFF!$A$9),"",MAX(V$12:OFFSET(V17,-1,0))+1)</f>
        <v>3</v>
      </c>
      <c r="W17" s="9" t="b">
        <f t="shared" si="13"/>
        <v>0</v>
      </c>
      <c r="X17" s="4" t="str">
        <f ca="1" t="shared" si="14"/>
        <v>X</v>
      </c>
      <c r="Y17" s="121">
        <f ca="1" t="shared" si="15"/>
        <v>0</v>
      </c>
      <c r="Z17" s="132">
        <f ca="1">ROUND(IF(ISNUMBER(R17),R17,IF(LEFT(R17,3)="BDI",HLOOKUP(R17,DADOS!$T$37:$X$38,2,FALSE),0)),15-11*$X$5)</f>
        <v>0.2009</v>
      </c>
      <c r="AA17" s="4"/>
    </row>
    <row r="18" spans="1:27" ht="52.8">
      <c r="A18" t="str">
        <f t="shared" si="0"/>
        <v>S</v>
      </c>
      <c r="B18">
        <f t="shared" si="1"/>
        <v>0</v>
      </c>
      <c r="C18">
        <f ca="1" t="shared" si="2"/>
        <v>1</v>
      </c>
      <c r="D18">
        <f ca="1" t="shared" si="3"/>
        <v>2</v>
      </c>
      <c r="E18">
        <f ca="1" t="shared" si="4"/>
        <v>0</v>
      </c>
      <c r="F18">
        <f ca="1" t="shared" si="5"/>
        <v>0</v>
      </c>
      <c r="G18">
        <f ca="1" t="shared" si="6"/>
        <v>1</v>
      </c>
      <c r="H18">
        <f ca="1" t="shared" si="7"/>
        <v>0</v>
      </c>
      <c r="I18">
        <f ca="1" t="shared" si="8"/>
        <v>0</v>
      </c>
      <c r="J18" s="120" t="s">
        <v>103</v>
      </c>
      <c r="K18" s="162" t="str">
        <f ca="1" t="shared" si="9"/>
        <v>1.2.1.</v>
      </c>
      <c r="L18" s="209" t="s">
        <v>238</v>
      </c>
      <c r="M18" s="209" t="s">
        <v>242</v>
      </c>
      <c r="N18" s="230" t="str">
        <f ca="1">IF($A18="S",Referencia.Descricao,"(digite a descrição aqui)")</f>
        <v>ESCAVAÇÃO MECANIZADA DE VALA COM PROFUNDIDADE ATÉ 1,5 M (MÉDIA MONTANTE E JUSANTE/UMA COMPOSIÇÃO POR TRECHO), RETROESCAV. (0,26 M3), LARGURA DE 0,8 M A 1,5 M, EM SOLO DE 1A CATEGORIA, LOCAIS COM BAIXO NÍVEL DE INTERFERÊNCIA. AF_02/2021</v>
      </c>
      <c r="O18" s="229" t="str">
        <f ca="1">Referencia.Unidade</f>
        <v>M3</v>
      </c>
      <c r="P18" s="232">
        <f ca="1">OFFSET(PLQ!$E$12,ROW($P18)-ROW(P$12),0)</f>
        <v>203.22</v>
      </c>
      <c r="Q18" s="228">
        <v>7.64</v>
      </c>
      <c r="R18" s="231" t="s">
        <v>7</v>
      </c>
      <c r="S18" s="121">
        <f ca="1" t="shared" si="10"/>
        <v>9.17</v>
      </c>
      <c r="T18" s="98">
        <f ca="1" t="shared" si="11"/>
        <v>1863.53</v>
      </c>
      <c r="U18" s="13" t="str">
        <f ca="1" t="shared" si="12"/>
        <v/>
      </c>
      <c r="V18" s="4" t="str">
        <f ca="1">IF(OR($A18=0,$A18="S",$A18&gt;CFF!$A$9),"",MAX(V$12:OFFSET(V18,-1,0))+1)</f>
        <v/>
      </c>
      <c r="W18" s="9" t="str">
        <f t="shared" si="13"/>
        <v>sinapi-90106</v>
      </c>
      <c r="X18" s="4">
        <f ca="1" t="shared" si="14"/>
        <v>5625</v>
      </c>
      <c r="Y18" s="121">
        <f ca="1" t="shared" si="15"/>
        <v>7.64</v>
      </c>
      <c r="Z18" s="132">
        <f ca="1">ROUND(IF(ISNUMBER(R18),R18,IF(LEFT(R18,3)="BDI",HLOOKUP(R18,DADOS!$T$37:$X$38,2,FALSE),0)),15-11*$X$5)</f>
        <v>0.2009</v>
      </c>
      <c r="AA18" s="4"/>
    </row>
    <row r="19" spans="1:27" ht="26.4">
      <c r="A19" t="str">
        <f t="shared" si="0"/>
        <v>S</v>
      </c>
      <c r="B19">
        <f t="shared" si="1"/>
        <v>0</v>
      </c>
      <c r="C19">
        <f ca="1" t="shared" si="2"/>
        <v>1</v>
      </c>
      <c r="D19">
        <f ca="1" t="shared" si="3"/>
        <v>2</v>
      </c>
      <c r="E19">
        <f ca="1" t="shared" si="4"/>
        <v>0</v>
      </c>
      <c r="F19">
        <f ca="1" t="shared" si="5"/>
        <v>0</v>
      </c>
      <c r="G19">
        <f ca="1" t="shared" si="6"/>
        <v>2</v>
      </c>
      <c r="H19">
        <f ca="1" t="shared" si="7"/>
        <v>0</v>
      </c>
      <c r="I19">
        <f ca="1" t="shared" si="8"/>
        <v>0</v>
      </c>
      <c r="J19" s="120" t="s">
        <v>103</v>
      </c>
      <c r="K19" s="162" t="str">
        <f ca="1" t="shared" si="9"/>
        <v>1.2.2.</v>
      </c>
      <c r="L19" s="209" t="s">
        <v>230</v>
      </c>
      <c r="M19" s="209" t="s">
        <v>260</v>
      </c>
      <c r="N19" s="230" t="str">
        <f ca="1">IF($A19="S",Referencia.Descricao,"(digite a descrição aqui)")</f>
        <v>PREPARO DE FUNDO DE VALA COM LARGURA MENOR QUE 1,5 M (ACERTO DO SOLO NATURAL). AF_08/2020</v>
      </c>
      <c r="O19" s="229" t="str">
        <f ca="1">Referencia.Unidade</f>
        <v>M2</v>
      </c>
      <c r="P19" s="232">
        <f ca="1">OFFSET(PLQ!$E$12,ROW($P19)-ROW(P$12),0)</f>
        <v>152.44</v>
      </c>
      <c r="Q19" s="228">
        <v>6.13</v>
      </c>
      <c r="R19" s="231" t="s">
        <v>7</v>
      </c>
      <c r="S19" s="121">
        <f ca="1" t="shared" si="10"/>
        <v>7.36</v>
      </c>
      <c r="T19" s="98">
        <f ca="1" t="shared" si="11"/>
        <v>1121.96</v>
      </c>
      <c r="U19" s="13" t="str">
        <f ca="1" t="shared" si="12"/>
        <v/>
      </c>
      <c r="V19" s="4" t="str">
        <f ca="1">IF(OR($A19=0,$A19="S",$A19&gt;CFF!$A$9),"",MAX(V$12:OFFSET(V19,-1,0))+1)</f>
        <v/>
      </c>
      <c r="W19" s="9" t="str">
        <f t="shared" si="13"/>
        <v>Sinapi-101616</v>
      </c>
      <c r="X19" s="4">
        <f ca="1" t="shared" si="14"/>
        <v>5737</v>
      </c>
      <c r="Y19" s="121">
        <f ca="1" t="shared" si="15"/>
        <v>6.13</v>
      </c>
      <c r="Z19" s="132">
        <f ca="1">ROUND(IF(ISNUMBER(R19),R19,IF(LEFT(R19,3)="BDI",HLOOKUP(R19,DADOS!$T$37:$X$38,2,FALSE),0)),15-11*$X$5)</f>
        <v>0.2009</v>
      </c>
      <c r="AA19" s="4"/>
    </row>
    <row r="20" spans="1:27" ht="12.75">
      <c r="A20" t="str">
        <f t="shared" si="0"/>
        <v>S</v>
      </c>
      <c r="B20">
        <f t="shared" si="1"/>
        <v>0</v>
      </c>
      <c r="C20">
        <f ca="1" t="shared" si="2"/>
        <v>1</v>
      </c>
      <c r="D20">
        <f ca="1" t="shared" si="3"/>
        <v>2</v>
      </c>
      <c r="E20">
        <f ca="1" t="shared" si="4"/>
        <v>0</v>
      </c>
      <c r="F20">
        <f ca="1" t="shared" si="5"/>
        <v>0</v>
      </c>
      <c r="G20">
        <f ca="1" t="shared" si="6"/>
        <v>3</v>
      </c>
      <c r="H20">
        <f ca="1" t="shared" si="7"/>
        <v>0</v>
      </c>
      <c r="I20">
        <f ca="1" t="shared" si="8"/>
        <v>0</v>
      </c>
      <c r="J20" s="120" t="s">
        <v>103</v>
      </c>
      <c r="K20" s="162" t="str">
        <f ca="1" t="shared" si="9"/>
        <v>1.2.3.</v>
      </c>
      <c r="L20" s="209" t="s">
        <v>249</v>
      </c>
      <c r="M20" s="209" t="s">
        <v>253</v>
      </c>
      <c r="N20" s="230" t="str">
        <f ca="1">IF($A20="S",Referencia.Descricao,"(digite a descrição aqui)")</f>
        <v xml:space="preserve">PEDRA BRITADA N. 1 (9,5 a 19 MM) POSTO PEDREIRA/FORNECEDOR, SEM FRETE                                                                                                                                                                                                                                                                                                                                                                                                                                     </v>
      </c>
      <c r="O20" s="229" t="str">
        <f ca="1">Referencia.Unidade</f>
        <v xml:space="preserve">M3    </v>
      </c>
      <c r="P20" s="232">
        <f ca="1">OFFSET(PLQ!$E$12,ROW($P20)-ROW(P$12),0)</f>
        <v>7.61</v>
      </c>
      <c r="Q20" s="228">
        <v>72.13</v>
      </c>
      <c r="R20" s="231" t="s">
        <v>7</v>
      </c>
      <c r="S20" s="121">
        <f ca="1" t="shared" si="10"/>
        <v>86.62</v>
      </c>
      <c r="T20" s="98">
        <f ca="1" t="shared" si="11"/>
        <v>659.18</v>
      </c>
      <c r="U20" s="13" t="str">
        <f ca="1" t="shared" si="12"/>
        <v/>
      </c>
      <c r="V20" s="4" t="str">
        <f ca="1">IF(OR($A20=0,$A20="S",$A20&gt;CFF!$A$9),"",MAX(V$12:OFFSET(V20,-1,0))+1)</f>
        <v/>
      </c>
      <c r="W20" s="9" t="str">
        <f t="shared" si="13"/>
        <v>Sinapi-i-4721</v>
      </c>
      <c r="X20" s="4">
        <f ca="1" t="shared" si="14"/>
        <v>10828</v>
      </c>
      <c r="Y20" s="121">
        <f ca="1" t="shared" si="15"/>
        <v>72.13</v>
      </c>
      <c r="Z20" s="132">
        <f ca="1">ROUND(IF(ISNUMBER(R20),R20,IF(LEFT(R20,3)="BDI",HLOOKUP(R20,DADOS!$T$37:$X$38,2,FALSE),0)),15-11*$X$5)</f>
        <v>0.2009</v>
      </c>
      <c r="AA20" s="4"/>
    </row>
    <row r="21" spans="1:27" ht="39.6">
      <c r="A21" t="str">
        <f t="shared" si="0"/>
        <v>S</v>
      </c>
      <c r="B21">
        <f t="shared" si="1"/>
        <v>0</v>
      </c>
      <c r="C21">
        <f ca="1" t="shared" si="2"/>
        <v>1</v>
      </c>
      <c r="D21">
        <f ca="1" t="shared" si="3"/>
        <v>2</v>
      </c>
      <c r="E21">
        <f ca="1" t="shared" si="4"/>
        <v>0</v>
      </c>
      <c r="F21">
        <f ca="1" t="shared" si="5"/>
        <v>0</v>
      </c>
      <c r="G21">
        <f ca="1" t="shared" si="6"/>
        <v>4</v>
      </c>
      <c r="H21">
        <f ca="1" t="shared" si="7"/>
        <v>0</v>
      </c>
      <c r="I21">
        <f ca="1" t="shared" si="8"/>
        <v>0</v>
      </c>
      <c r="J21" s="120" t="s">
        <v>103</v>
      </c>
      <c r="K21" s="162" t="str">
        <f ca="1" t="shared" si="9"/>
        <v>1.2.4.</v>
      </c>
      <c r="L21" s="209" t="s">
        <v>238</v>
      </c>
      <c r="M21" s="209" t="s">
        <v>244</v>
      </c>
      <c r="N21" s="230" t="str">
        <f ca="1">IF($A21="S",Referencia.Descricao,"(digite a descrição aqui)")</f>
        <v>TUBO DE CONCRETO (SIMPLES) PARA REDES COLETORAS DE ÁGUAS PLUVIAIS, DIÂMETRO DE 500 MM, JUNTA RÍGIDA, INSTALADO EM LOCAL COM BAIXO NÍVEL DE INTERFERÊNCIAS - FORNECIMENTO E ASSENTAMENTO. AF_12/2015</v>
      </c>
      <c r="O21" s="229" t="str">
        <f ca="1">Referencia.Unidade</f>
        <v>M</v>
      </c>
      <c r="P21" s="232">
        <f ca="1">OFFSET(PLQ!$E$12,ROW($P21)-ROW(P$12),0)</f>
        <v>109.52</v>
      </c>
      <c r="Q21" s="228">
        <v>105.57</v>
      </c>
      <c r="R21" s="231" t="s">
        <v>7</v>
      </c>
      <c r="S21" s="121">
        <f ca="1" t="shared" si="10"/>
        <v>126.78</v>
      </c>
      <c r="T21" s="98">
        <f ca="1" t="shared" si="11"/>
        <v>13884.95</v>
      </c>
      <c r="U21" s="13" t="str">
        <f ca="1" t="shared" si="12"/>
        <v/>
      </c>
      <c r="V21" s="4" t="str">
        <f ca="1">IF(OR($A21=0,$A21="S",$A21&gt;CFF!$A$9),"",MAX(V$12:OFFSET(V21,-1,0))+1)</f>
        <v/>
      </c>
      <c r="W21" s="9" t="str">
        <f t="shared" si="13"/>
        <v>sinapi-95569</v>
      </c>
      <c r="X21" s="4">
        <f ca="1" t="shared" si="14"/>
        <v>216</v>
      </c>
      <c r="Y21" s="121">
        <f ca="1" t="shared" si="15"/>
        <v>161.57</v>
      </c>
      <c r="Z21" s="132">
        <f ca="1">ROUND(IF(ISNUMBER(R21),R21,IF(LEFT(R21,3)="BDI",HLOOKUP(R21,DADOS!$T$37:$X$38,2,FALSE),0)),15-11*$X$5)</f>
        <v>0.2009</v>
      </c>
      <c r="AA21" s="4"/>
    </row>
    <row r="22" spans="1:27" ht="39.6">
      <c r="A22" t="str">
        <f>CHOOSE(1+LOG(1+2*(J22="Meta")+4*(J22="Nível 2")+8*(J22="Nível 3")+16*(J22="Nível 4")+32*(J22="Serviço"),2),0,1,2,3,4,"S")</f>
        <v>S</v>
      </c>
      <c r="B22">
        <f>IF(OR(A22="S",A22=0),0,IF(ISERROR(I22),H22,SMALL(H22:I22,1)))</f>
        <v>0</v>
      </c>
      <c r="C22">
        <f ca="1">IF($A22=1,OFFSET(C22,-1,0)+1,OFFSET(C22,-1,0))</f>
        <v>1</v>
      </c>
      <c r="D22">
        <f ca="1">IF($A22=1,0,IF($A22=2,OFFSET(D22,-1,0)+1,OFFSET(D22,-1,0)))</f>
        <v>2</v>
      </c>
      <c r="E22">
        <f ca="1">IF(AND($A22&lt;=2,$A22&lt;&gt;0),0,IF($A22=3,OFFSET(E22,-1,0)+1,OFFSET(E22,-1,0)))</f>
        <v>0</v>
      </c>
      <c r="F22">
        <f ca="1">IF(AND($A22&lt;=3,$A22&lt;&gt;0),0,IF($A22=4,OFFSET(F22,-1,0)+1,OFFSET(F22,-1,0)))</f>
        <v>0</v>
      </c>
      <c r="G22">
        <f ca="1">IF(AND($A22&lt;=4,$A22&lt;&gt;0),0,IF($A22="S",OFFSET(G22,-1,0)+1,OFFSET(G22,-1,0)))</f>
        <v>5</v>
      </c>
      <c r="H22">
        <f ca="1" t="shared" si="7"/>
        <v>0</v>
      </c>
      <c r="I22">
        <f ca="1" t="shared" si="8"/>
        <v>0</v>
      </c>
      <c r="J22" s="120" t="s">
        <v>103</v>
      </c>
      <c r="K22" s="162" t="str">
        <f ca="1">IF($A22=0,"-",CONCATENATE(C22&amp;".",IF(AND($A$5&gt;=2,$A22&gt;=2),D22&amp;".",""),IF(AND($A$5&gt;=3,$A22&gt;=3),E22&amp;".",""),IF(AND($A$5&gt;=4,$A22&gt;=4),F22&amp;".",""),IF($A22="S",G22&amp;".","")))</f>
        <v>1.2.5.</v>
      </c>
      <c r="L22" s="209" t="s">
        <v>238</v>
      </c>
      <c r="M22" s="209" t="s">
        <v>258</v>
      </c>
      <c r="N22" s="230" t="str">
        <f ca="1">IF($A22="S",Referencia.Descricao,"(digite a descrição aqui)")</f>
        <v>TUBO DE CONCRETO PARA REDES COLETORAS DE ÁGUAS PLUVIAIS, DIÂMETRO DE 400 MM, JUNTA RÍGIDA, INSTALADO EM LOCAL COM BAIXO NÍVEL DE INTERFERÊNCIAS - FORNECIMENTO E ASSENTAMENTO. AF_12/2015</v>
      </c>
      <c r="O22" s="229" t="str">
        <f ca="1">Referencia.Unidade</f>
        <v>M</v>
      </c>
      <c r="P22" s="232">
        <f ca="1">OFFSET(PLQ!$E$12,ROW($P22)-ROW(P$12),0)</f>
        <v>19.4</v>
      </c>
      <c r="Q22" s="228">
        <v>110.94</v>
      </c>
      <c r="R22" s="231" t="s">
        <v>7</v>
      </c>
      <c r="S22" s="121">
        <f ca="1">IF($A22="S",IF($Q$10="Preço Unitário (R$)",PO.CustoUnitario,ROUND(PO.CustoUnitario*(1+$Z22),15-13*$X$6)),0)</f>
        <v>133.23</v>
      </c>
      <c r="T22" s="98">
        <f ca="1">IF($A22="S",VTOTAL1,IF($A22=0,0,ROUND(SomaAgrup,15-13*$X$7)))</f>
        <v>2584.66</v>
      </c>
      <c r="U22" s="13" t="str">
        <f ca="1">IF($J22="","",IF($N22="","DESCRIÇÃO",IF(AND($J22="Serviço",$O22=""),"UNIDADE",IF($T22&lt;=0,"SEM VALOR",IF(AND($Y22&lt;&gt;"",$Q22&gt;$Y22),"ACIMA REF.","")))))</f>
        <v/>
      </c>
      <c r="V22" s="4" t="str">
        <f ca="1">IF(OR($A22=0,$A22="S",$A22&gt;CFF!$A$9),"",MAX(V$12:OFFSET(V22,-1,0))+1)</f>
        <v/>
      </c>
      <c r="W22" s="9" t="str">
        <f>IF(AND($J22="Serviço",$M22&lt;&gt;""),IF($L22="",$M22,CONCATENATE($L22,"-",$M22)))</f>
        <v>sinapi-92210</v>
      </c>
      <c r="X22" s="4">
        <f ca="1">IF(AND(Fonte&lt;&gt;"",Código&lt;&gt;""),MATCH(Fonte&amp;" "&amp;IF(Fonte="sinapi",SUBSTITUTE(SUBSTITUTE(Código,"/00","/"),"/0","/"),Código),INDIRECT("'[Referência "&amp;_XLNM.DATABASE&amp;".xls]Banco'!$a:$a"),0),"X")</f>
        <v>174</v>
      </c>
      <c r="Y22" s="121">
        <f ca="1">IF(Import.Desoneracao="sim",Referencia.Desonerado,Referencia.NaoDesonerado)</f>
        <v>177.94</v>
      </c>
      <c r="Z22" s="132">
        <f ca="1">ROUND(IF(ISNUMBER(R22),R22,IF(LEFT(R22,3)="BDI",HLOOKUP(R22,DADOS!$T$37:$X$38,2,FALSE),0)),15-11*$X$5)</f>
        <v>0.2009</v>
      </c>
      <c r="AA22" s="4"/>
    </row>
    <row r="23" spans="1:27" ht="12.75">
      <c r="A23" t="str">
        <f>CHOOSE(1+LOG(1+2*(J23="Meta")+4*(J23="Nível 2")+8*(J23="Nível 3")+16*(J23="Nível 4")+32*(J23="Serviço"),2),0,1,2,3,4,"S")</f>
        <v>S</v>
      </c>
      <c r="B23">
        <f>IF(OR(A23="S",A23=0),0,IF(ISERROR(I23),H23,SMALL(H23:I23,1)))</f>
        <v>0</v>
      </c>
      <c r="C23">
        <f ca="1">IF($A23=1,OFFSET(C23,-1,0)+1,OFFSET(C23,-1,0))</f>
        <v>1</v>
      </c>
      <c r="D23">
        <f ca="1">IF($A23=1,0,IF($A23=2,OFFSET(D23,-1,0)+1,OFFSET(D23,-1,0)))</f>
        <v>2</v>
      </c>
      <c r="E23">
        <f ca="1">IF(AND($A23&lt;=2,$A23&lt;&gt;0),0,IF($A23=3,OFFSET(E23,-1,0)+1,OFFSET(E23,-1,0)))</f>
        <v>0</v>
      </c>
      <c r="F23">
        <f ca="1">IF(AND($A23&lt;=3,$A23&lt;&gt;0),0,IF($A23=4,OFFSET(F23,-1,0)+1,OFFSET(F23,-1,0)))</f>
        <v>0</v>
      </c>
      <c r="G23">
        <f ca="1">IF(AND($A23&lt;=4,$A23&lt;&gt;0),0,IF($A23="S",OFFSET(G23,-1,0)+1,OFFSET(G23,-1,0)))</f>
        <v>6</v>
      </c>
      <c r="H23">
        <f ca="1" t="shared" si="7"/>
        <v>0</v>
      </c>
      <c r="I23">
        <f ca="1" t="shared" si="8"/>
        <v>0</v>
      </c>
      <c r="J23" s="120" t="s">
        <v>103</v>
      </c>
      <c r="K23" s="162" t="str">
        <f ca="1">IF($A23=0,"-",CONCATENATE(C23&amp;".",IF(AND($A$5&gt;=2,$A23&gt;=2),D23&amp;".",""),IF(AND($A$5&gt;=3,$A23&gt;=3),E23&amp;".",""),IF(AND($A$5&gt;=4,$A23&gt;=4),F23&amp;".",""),IF($A23="S",G23&amp;".","")))</f>
        <v>1.2.6.</v>
      </c>
      <c r="L23" s="209" t="s">
        <v>266</v>
      </c>
      <c r="M23" s="209" t="s">
        <v>241</v>
      </c>
      <c r="N23" s="230" t="str">
        <f ca="1">IF($A23="S",Referencia.Descricao,"(digite a descrição aqui)")</f>
        <v>Caixa para boca de lobo em alvenaria de tijilo maciço. Dimensões internas: 0,80x0,80x1,20m</v>
      </c>
      <c r="O23" s="229" t="str">
        <f ca="1">Referencia.Unidade</f>
        <v>UNIDADE</v>
      </c>
      <c r="P23" s="232">
        <f ca="1">OFFSET(PLQ!$E$12,ROW($P23)-ROW(P$12),0)</f>
        <v>4</v>
      </c>
      <c r="Q23" s="228">
        <v>585.31</v>
      </c>
      <c r="R23" s="231" t="s">
        <v>7</v>
      </c>
      <c r="S23" s="121">
        <f ca="1">IF($A23="S",IF($Q$10="Preço Unitário (R$)",PO.CustoUnitario,ROUND(PO.CustoUnitario*(1+$Z23),15-13*$X$6)),0)</f>
        <v>702.9</v>
      </c>
      <c r="T23" s="98">
        <f ca="1">IF($A23="S",VTOTAL1,IF($A23=0,0,ROUND(SomaAgrup,15-13*$X$7)))</f>
        <v>2811.6</v>
      </c>
      <c r="U23" s="13" t="str">
        <f ca="1">IF($J23="","",IF($N23="","DESCRIÇÃO",IF(AND($J23="Serviço",$O23=""),"UNIDADE",IF($T23&lt;=0,"SEM VALOR",IF(AND($Y23&lt;&gt;"",$Q23&gt;$Y23),"ACIMA REF.","")))))</f>
        <v/>
      </c>
      <c r="V23" s="4" t="str">
        <f ca="1">IF(OR($A23=0,$A23="S",$A23&gt;CFF!$A$9),"",MAX(V$12:OFFSET(V23,-1,0))+1)</f>
        <v/>
      </c>
      <c r="W23" s="9" t="str">
        <f>IF(AND($J23="Serviço",$M23&lt;&gt;""),IF($L23="",$M23,CONCATENATE($L23,"-",$M23)))</f>
        <v>Composição -02</v>
      </c>
      <c r="X23" s="4">
        <f ca="1">IF(AND(Fonte&lt;&gt;"",Código&lt;&gt;""),MATCH(Fonte&amp;" "&amp;IF(Fonte="sinapi",SUBSTITUTE(SUBSTITUTE(Código,"/00","/"),"/0","/"),Código),INDIRECT("'[Referência "&amp;_XLNM.DATABASE&amp;".xls]Banco'!$a:$a"),0),"X")</f>
        <v>8</v>
      </c>
      <c r="Y23" s="121">
        <f ca="1">IF(Import.Desoneracao="sim",Referencia.Desonerado,Referencia.NaoDesonerado)</f>
        <v>585.3100000000001</v>
      </c>
      <c r="Z23" s="132">
        <f ca="1">ROUND(IF(ISNUMBER(R23),R23,IF(LEFT(R23,3)="BDI",HLOOKUP(R23,DADOS!$T$37:$X$38,2,FALSE),0)),15-11*$X$5)</f>
        <v>0.2009</v>
      </c>
      <c r="AA23" s="4"/>
    </row>
    <row r="24" spans="1:27" ht="52.8">
      <c r="A24" t="str">
        <f t="shared" si="0"/>
        <v>S</v>
      </c>
      <c r="B24">
        <f t="shared" si="1"/>
        <v>0</v>
      </c>
      <c r="C24">
        <f ca="1" t="shared" si="2"/>
        <v>1</v>
      </c>
      <c r="D24">
        <f ca="1" t="shared" si="3"/>
        <v>2</v>
      </c>
      <c r="E24">
        <f ca="1" t="shared" si="4"/>
        <v>0</v>
      </c>
      <c r="F24">
        <f ca="1" t="shared" si="5"/>
        <v>0</v>
      </c>
      <c r="G24">
        <f ca="1" t="shared" si="6"/>
        <v>7</v>
      </c>
      <c r="H24">
        <f ca="1" t="shared" si="7"/>
        <v>0</v>
      </c>
      <c r="I24">
        <f ca="1" t="shared" si="8"/>
        <v>0</v>
      </c>
      <c r="J24" s="120" t="s">
        <v>103</v>
      </c>
      <c r="K24" s="162" t="str">
        <f ca="1" t="shared" si="9"/>
        <v>1.2.7.</v>
      </c>
      <c r="L24" s="209" t="s">
        <v>230</v>
      </c>
      <c r="M24" s="209" t="s">
        <v>232</v>
      </c>
      <c r="N24" s="230" t="str">
        <f ca="1">IF($A24="S",Referencia.Descricao,"(digite a descrição aqui)")</f>
        <v>REATERRO MECANIZADO DE VALA COM RETROESCAVADEIRA (CAPACIDADE DA CAÇAMBA DA RETRO: 0,26 M³ / POTÊNCIA: 88 HP), LARGURA DE 0,8 A 1,5 M, PROFUNDIDADE ATÉ 1,5 M, COM SOLO DE 1ª CATEGORIA EM LOCAIS COM BAIXO NÍVEL DE INTERFERÊNCIA. AF_04/2016</v>
      </c>
      <c r="O24" s="229" t="str">
        <f ca="1">Referencia.Unidade</f>
        <v>M3</v>
      </c>
      <c r="P24" s="232">
        <f ca="1">OFFSET(PLQ!$E$12,ROW($P24)-ROW(P$12),0)</f>
        <v>91.45</v>
      </c>
      <c r="Q24" s="228">
        <v>10.42</v>
      </c>
      <c r="R24" s="231" t="s">
        <v>7</v>
      </c>
      <c r="S24" s="121">
        <f ca="1" t="shared" si="10"/>
        <v>12.51</v>
      </c>
      <c r="T24" s="98">
        <f ca="1" t="shared" si="11"/>
        <v>1144.04</v>
      </c>
      <c r="U24" s="13" t="str">
        <f ca="1" t="shared" si="12"/>
        <v/>
      </c>
      <c r="V24" s="4" t="str">
        <f ca="1">IF(OR($A24=0,$A24="S",$A24&gt;CFF!$A$9),"",MAX(V$12:OFFSET(V24,-1,0))+1)</f>
        <v/>
      </c>
      <c r="W24" s="9" t="str">
        <f t="shared" si="13"/>
        <v>Sinapi-93379</v>
      </c>
      <c r="X24" s="4">
        <f ca="1" t="shared" si="14"/>
        <v>5728</v>
      </c>
      <c r="Y24" s="121">
        <f ca="1" t="shared" si="15"/>
        <v>20.42</v>
      </c>
      <c r="Z24" s="132">
        <f ca="1">ROUND(IF(ISNUMBER(R24),R24,IF(LEFT(R24,3)="BDI",HLOOKUP(R24,DADOS!$T$37:$X$38,2,FALSE),0)),15-11*$X$5)</f>
        <v>0.2009</v>
      </c>
      <c r="AA24" s="4"/>
    </row>
    <row r="25" spans="1:27" ht="12.75">
      <c r="A25">
        <f t="shared" si="0"/>
        <v>2</v>
      </c>
      <c r="B25">
        <f ca="1" t="shared" si="1"/>
        <v>4</v>
      </c>
      <c r="C25">
        <f ca="1" t="shared" si="2"/>
        <v>1</v>
      </c>
      <c r="D25">
        <f ca="1" t="shared" si="3"/>
        <v>3</v>
      </c>
      <c r="E25">
        <f ca="1" t="shared" si="4"/>
        <v>0</v>
      </c>
      <c r="F25">
        <f ca="1" t="shared" si="5"/>
        <v>0</v>
      </c>
      <c r="G25">
        <f ca="1" t="shared" si="6"/>
        <v>0</v>
      </c>
      <c r="H25">
        <f ca="1" t="shared" si="7"/>
        <v>6</v>
      </c>
      <c r="I25">
        <f ca="1" t="shared" si="8"/>
        <v>4</v>
      </c>
      <c r="J25" s="120" t="s">
        <v>100</v>
      </c>
      <c r="K25" s="162" t="str">
        <f ca="1" t="shared" si="9"/>
        <v>1.3.</v>
      </c>
      <c r="L25" s="209"/>
      <c r="M25" s="209"/>
      <c r="N25" s="230" t="s">
        <v>233</v>
      </c>
      <c r="O25" s="229" t="str">
        <f ca="1">Referencia.Unidade</f>
        <v/>
      </c>
      <c r="P25" s="232">
        <f ca="1">OFFSET(PLQ!$E$12,ROW($P25)-ROW(P$12),0)</f>
        <v>0</v>
      </c>
      <c r="Q25" s="228"/>
      <c r="R25" s="231" t="s">
        <v>7</v>
      </c>
      <c r="S25" s="121">
        <f t="shared" si="10"/>
        <v>0</v>
      </c>
      <c r="T25" s="98">
        <f ca="1" t="shared" si="11"/>
        <v>86130.97</v>
      </c>
      <c r="U25" s="13" t="str">
        <f ca="1" t="shared" si="12"/>
        <v/>
      </c>
      <c r="V25" s="4">
        <f ca="1">IF(OR($A25=0,$A25="S",$A25&gt;CFF!$A$9),"",MAX(V$12:OFFSET(V25,-1,0))+1)</f>
        <v>4</v>
      </c>
      <c r="W25" s="9" t="b">
        <f t="shared" si="13"/>
        <v>0</v>
      </c>
      <c r="X25" s="4" t="str">
        <f ca="1" t="shared" si="14"/>
        <v>X</v>
      </c>
      <c r="Y25" s="121">
        <f ca="1" t="shared" si="15"/>
        <v>0</v>
      </c>
      <c r="Z25" s="132">
        <f ca="1">ROUND(IF(ISNUMBER(R25),R25,IF(LEFT(R25,3)="BDI",HLOOKUP(R25,DADOS!$T$37:$X$38,2,FALSE),0)),15-11*$X$5)</f>
        <v>0.2009</v>
      </c>
      <c r="AA25" s="4"/>
    </row>
    <row r="26" spans="1:27" ht="26.4">
      <c r="A26" t="str">
        <f>CHOOSE(1+LOG(1+2*(J26="Meta")+4*(J26="Nível 2")+8*(J26="Nível 3")+16*(J26="Nível 4")+32*(J26="Serviço"),2),0,1,2,3,4,"S")</f>
        <v>S</v>
      </c>
      <c r="B26">
        <f>IF(OR(A26="S",A26=0),0,IF(ISERROR(I26),H26,SMALL(H26:I26,1)))</f>
        <v>0</v>
      </c>
      <c r="C26">
        <f ca="1">IF($A26=1,OFFSET(C26,-1,0)+1,OFFSET(C26,-1,0))</f>
        <v>1</v>
      </c>
      <c r="D26">
        <f ca="1">IF($A26=1,0,IF($A26=2,OFFSET(D26,-1,0)+1,OFFSET(D26,-1,0)))</f>
        <v>3</v>
      </c>
      <c r="E26">
        <f ca="1">IF(AND($A26&lt;=2,$A26&lt;&gt;0),0,IF($A26=3,OFFSET(E26,-1,0)+1,OFFSET(E26,-1,0)))</f>
        <v>0</v>
      </c>
      <c r="F26">
        <f ca="1">IF(AND($A26&lt;=3,$A26&lt;&gt;0),0,IF($A26=4,OFFSET(F26,-1,0)+1,OFFSET(F26,-1,0)))</f>
        <v>0</v>
      </c>
      <c r="G26">
        <f ca="1">IF(AND($A26&lt;=4,$A26&lt;&gt;0),0,IF($A26="S",OFFSET(G26,-1,0)+1,OFFSET(G26,-1,0)))</f>
        <v>1</v>
      </c>
      <c r="H26">
        <f ca="1" t="shared" si="7"/>
        <v>0</v>
      </c>
      <c r="I26">
        <f ca="1" t="shared" si="8"/>
        <v>0</v>
      </c>
      <c r="J26" s="120" t="s">
        <v>103</v>
      </c>
      <c r="K26" s="162" t="str">
        <f ca="1">IF($A26=0,"-",CONCATENATE(C26&amp;".",IF(AND($A$5&gt;=2,$A26&gt;=2),D26&amp;".",""),IF(AND($A$5&gt;=3,$A26&gt;=3),E26&amp;".",""),IF(AND($A$5&gt;=4,$A26&gt;=4),F26&amp;".",""),IF($A26="S",G26&amp;".","")))</f>
        <v>1.3.1.</v>
      </c>
      <c r="L26" s="209" t="s">
        <v>266</v>
      </c>
      <c r="M26" s="209" t="s">
        <v>243</v>
      </c>
      <c r="N26" s="230" t="str">
        <f ca="1">IF($A26="S",Referencia.Descricao,"(digite a descrição aqui)")</f>
        <v>Execução de via em piso intertravado, com bloco retangular cor natural de 20 x 10 cm, espessura 8 cm.</v>
      </c>
      <c r="O26" s="229" t="s">
        <v>250</v>
      </c>
      <c r="P26" s="232">
        <f ca="1">OFFSET(PLQ!$E$12,ROW($P26)-ROW(P$12),0)</f>
        <v>1247.95</v>
      </c>
      <c r="Q26" s="228">
        <v>52.17</v>
      </c>
      <c r="R26" s="231" t="s">
        <v>7</v>
      </c>
      <c r="S26" s="121">
        <f ca="1">IF($A26="S",IF($Q$10="Preço Unitário (R$)",PO.CustoUnitario,ROUND(PO.CustoUnitario*(1+$Z26),15-13*$X$6)),0)</f>
        <v>62.65</v>
      </c>
      <c r="T26" s="98">
        <f ca="1">IF($A26="S",VTOTAL1,IF($A26=0,0,ROUND(SomaAgrup,15-13*$X$7)))</f>
        <v>78184.07</v>
      </c>
      <c r="U26" s="13" t="str">
        <f ca="1">IF($J26="","",IF($N26="","DESCRIÇÃO",IF(AND($J26="Serviço",$O26=""),"UNIDADE",IF($T26&lt;=0,"SEM VALOR",IF(AND($Y26&lt;&gt;"",$Q26&gt;$Y26),"ACIMA REF.","")))))</f>
        <v/>
      </c>
      <c r="V26" s="4" t="str">
        <f ca="1">IF(OR($A26=0,$A26="S",$A26&gt;CFF!$A$9),"",MAX(V$12:OFFSET(V26,-1,0))+1)</f>
        <v/>
      </c>
      <c r="W26" s="9" t="str">
        <f>IF(AND($J26="Serviço",$M26&lt;&gt;""),IF($L26="",$M26,CONCATENATE($L26,"-",$M26)))</f>
        <v>Composição -03</v>
      </c>
      <c r="X26" s="4">
        <f ca="1">IF(AND(Fonte&lt;&gt;"",Código&lt;&gt;""),MATCH(Fonte&amp;" "&amp;IF(Fonte="sinapi",SUBSTITUTE(SUBSTITUTE(Código,"/00","/"),"/0","/"),Código),INDIRECT("'[Referência "&amp;_XLNM.DATABASE&amp;".xls]Banco'!$a:$a"),0),"X")</f>
        <v>9</v>
      </c>
      <c r="Y26" s="121">
        <f ca="1">IF(Import.Desoneracao="sim",Referencia.Desonerado,Referencia.NaoDesonerado)</f>
        <v>52.169999999999995</v>
      </c>
      <c r="Z26" s="132">
        <f ca="1">ROUND(IF(ISNUMBER(R26),R26,IF(LEFT(R26,3)="BDI",HLOOKUP(R26,DADOS!$T$37:$X$38,2,FALSE),0)),15-11*$X$5)</f>
        <v>0.2009</v>
      </c>
      <c r="AA26" s="4"/>
    </row>
    <row r="27" spans="1:27" ht="52.8">
      <c r="A27" t="str">
        <f>CHOOSE(1+LOG(1+2*(J27="Meta")+4*(J27="Nível 2")+8*(J27="Nível 3")+16*(J27="Nível 4")+32*(J27="Serviço"),2),0,1,2,3,4,"S")</f>
        <v>S</v>
      </c>
      <c r="B27">
        <f>IF(OR(A27="S",A27=0),0,IF(ISERROR(I27),H27,SMALL(H27:I27,1)))</f>
        <v>0</v>
      </c>
      <c r="C27">
        <f ca="1">IF($A27=1,OFFSET(C27,-1,0)+1,OFFSET(C27,-1,0))</f>
        <v>1</v>
      </c>
      <c r="D27">
        <f ca="1">IF($A27=1,0,IF($A27=2,OFFSET(D27,-1,0)+1,OFFSET(D27,-1,0)))</f>
        <v>3</v>
      </c>
      <c r="E27">
        <f ca="1">IF(AND($A27&lt;=2,$A27&lt;&gt;0),0,IF($A27=3,OFFSET(E27,-1,0)+1,OFFSET(E27,-1,0)))</f>
        <v>0</v>
      </c>
      <c r="F27">
        <f ca="1">IF(AND($A27&lt;=3,$A27&lt;&gt;0),0,IF($A27=4,OFFSET(F27,-1,0)+1,OFFSET(F27,-1,0)))</f>
        <v>0</v>
      </c>
      <c r="G27">
        <f ca="1">IF(AND($A27&lt;=4,$A27&lt;&gt;0),0,IF($A27="S",OFFSET(G27,-1,0)+1,OFFSET(G27,-1,0)))</f>
        <v>2</v>
      </c>
      <c r="H27">
        <f ca="1" t="shared" si="7"/>
        <v>0</v>
      </c>
      <c r="I27">
        <f ca="1" t="shared" si="8"/>
        <v>0</v>
      </c>
      <c r="J27" s="120" t="s">
        <v>103</v>
      </c>
      <c r="K27" s="162" t="str">
        <f ca="1">IF($A27=0,"-",CONCATENATE(C27&amp;".",IF(AND($A$5&gt;=2,$A27&gt;=2),D27&amp;".",""),IF(AND($A$5&gt;=3,$A27&gt;=3),E27&amp;".",""),IF(AND($A$5&gt;=4,$A27&gt;=4),F27&amp;".",""),IF($A27="S",G27&amp;".","")))</f>
        <v>1.3.2.</v>
      </c>
      <c r="L27" s="209" t="s">
        <v>238</v>
      </c>
      <c r="M27" s="209" t="s">
        <v>234</v>
      </c>
      <c r="N27" s="230" t="str">
        <f ca="1">IF($A27="S",Referencia.Descricao,"(digite a descrição aqui)")</f>
        <v>ASSENTAMENTO DE GUIA (MEIO-FIO) EM TRECHO RETO, CONFECCIONADA EM CONCRETO PRÉ-FABRICADO, DIMENSÕES 100X15X13X30 CM (COMPRIMENTO X BASE INFERIOR X BASE SUPERIOR X ALTURA), PARA VIAS URBANAS (USO VIÁRIO). AF_06/2016</v>
      </c>
      <c r="O27" s="229" t="str">
        <f ca="1">Referencia.Unidade</f>
        <v>M</v>
      </c>
      <c r="P27" s="232">
        <f ca="1">OFFSET(PLQ!$E$12,ROW($P27)-ROW(P$12),0)</f>
        <v>246</v>
      </c>
      <c r="Q27" s="228">
        <v>25</v>
      </c>
      <c r="R27" s="231" t="s">
        <v>7</v>
      </c>
      <c r="S27" s="121">
        <f aca="true" t="shared" si="26" ref="S27">IF($A27="S",IF($Q$10="Preço Unitário (R$)",PO.CustoUnitario,ROUND(PO.CustoUnitario*(1+$Z27),15-13*$X$6)),0)</f>
        <v>30.02</v>
      </c>
      <c r="T27" s="98">
        <f aca="true" ca="1" t="shared" si="27" ref="T27">IF($A27="S",VTOTAL1,IF($A27=0,0,ROUND(SomaAgrup,15-13*$X$7)))</f>
        <v>7384.92</v>
      </c>
      <c r="U27" s="13" t="str">
        <f ca="1">IF($J27="","",IF($N27="","DESCRIÇÃO",IF(AND($J27="Serviço",$O27=""),"UNIDADE",IF($T27&lt;=0,"SEM VALOR",IF(AND($Y27&lt;&gt;"",$Q27&gt;$Y27),"ACIMA REF.","")))))</f>
        <v/>
      </c>
      <c r="V27" s="4" t="str">
        <f ca="1">IF(OR($A27=0,$A27="S",$A27&gt;CFF!$A$9),"",MAX(V$12:OFFSET(V27,-1,0))+1)</f>
        <v/>
      </c>
      <c r="W27" s="9" t="str">
        <f>IF(AND($J27="Serviço",$M27&lt;&gt;""),IF($L27="",$M27,CONCATENATE($L27,"-",$M27)))</f>
        <v>sinapi-94273</v>
      </c>
      <c r="X27" s="4">
        <f aca="true" t="shared" si="28" ref="X27">IF(AND(Fonte&lt;&gt;"",Código&lt;&gt;""),MATCH(Fonte&amp;" "&amp;IF(Fonte="sinapi",SUBSTITUTE(SUBSTITUTE(Código,"/00","/"),"/0","/"),Código),INDIRECT("'[Referência "&amp;_XLNM.DATABASE&amp;".xls]Banco'!$a:$a"),0),"X")</f>
        <v>1813</v>
      </c>
      <c r="Y27" s="121">
        <f ca="1">IF(Import.Desoneracao="sim",Referencia.Desonerado,Referencia.NaoDesonerado)</f>
        <v>54.7</v>
      </c>
      <c r="Z27" s="132">
        <f ca="1">ROUND(IF(ISNUMBER(R27),R27,IF(LEFT(R27,3)="BDI",HLOOKUP(R27,DADOS!$T$37:$X$38,2,FALSE),0)),15-11*$X$5)</f>
        <v>0.2009</v>
      </c>
      <c r="AA27" s="4"/>
    </row>
    <row r="28" spans="1:27" ht="12.75">
      <c r="A28" t="str">
        <f>CHOOSE(1+LOG(1+2*(J28="Meta")+4*(J28="Nível 2")+8*(J28="Nível 3")+16*(J28="Nível 4")+32*(J28="Serviço"),2),0,1,2,3,4,"S")</f>
        <v>S</v>
      </c>
      <c r="B28">
        <f>IF(OR(A28="S",A28=0),0,IF(ISERROR(I28),H28,SMALL(H28:I28,1)))</f>
        <v>0</v>
      </c>
      <c r="C28">
        <f ca="1">IF($A28=1,OFFSET(C28,-1,0)+1,OFFSET(C28,-1,0))</f>
        <v>1</v>
      </c>
      <c r="D28">
        <f ca="1">IF($A28=1,0,IF($A28=2,OFFSET(D28,-1,0)+1,OFFSET(D28,-1,0)))</f>
        <v>3</v>
      </c>
      <c r="E28">
        <f ca="1">IF(AND($A28&lt;=2,$A28&lt;&gt;0),0,IF($A28=3,OFFSET(E28,-1,0)+1,OFFSET(E28,-1,0)))</f>
        <v>0</v>
      </c>
      <c r="F28">
        <f ca="1">IF(AND($A28&lt;=3,$A28&lt;&gt;0),0,IF($A28=4,OFFSET(F28,-1,0)+1,OFFSET(F28,-1,0)))</f>
        <v>0</v>
      </c>
      <c r="G28">
        <f ca="1">IF(AND($A28&lt;=4,$A28&lt;&gt;0),0,IF($A28="S",OFFSET(G28,-1,0)+1,OFFSET(G28,-1,0)))</f>
        <v>3</v>
      </c>
      <c r="H28">
        <f ca="1" t="shared" si="7"/>
        <v>0</v>
      </c>
      <c r="I28">
        <f ca="1" t="shared" si="8"/>
        <v>0</v>
      </c>
      <c r="J28" s="120" t="s">
        <v>103</v>
      </c>
      <c r="K28" s="162" t="str">
        <f ca="1">IF($A28=0,"-",CONCATENATE(C28&amp;".",IF(AND($A$5&gt;=2,$A28&gt;=2),D28&amp;".",""),IF(AND($A$5&gt;=3,$A28&gt;=3),E28&amp;".",""),IF(AND($A$5&gt;=4,$A28&gt;=4),F28&amp;".",""),IF($A28="S",G28&amp;".","")))</f>
        <v>1.3.3.</v>
      </c>
      <c r="L28" s="209" t="s">
        <v>230</v>
      </c>
      <c r="M28" s="209" t="s">
        <v>267</v>
      </c>
      <c r="N28" s="230" t="str">
        <f ca="1">IF($A28="S",Referencia.Descricao,"(digite a descrição aqui)")</f>
        <v>REATERRO MANUAL DE VALAS COM COMPACTAÇÃO MECANIZADA. AF_04/2016</v>
      </c>
      <c r="O28" s="229" t="str">
        <f ca="1">Referencia.Unidade</f>
        <v>M3</v>
      </c>
      <c r="P28" s="232">
        <f ca="1">OFFSET(PLQ!$E$12,ROW($P28)-ROW(P$12),0)</f>
        <v>38.1</v>
      </c>
      <c r="Q28" s="228">
        <v>12.28</v>
      </c>
      <c r="R28" s="231" t="s">
        <v>7</v>
      </c>
      <c r="S28" s="121">
        <f ca="1">IF($A28="S",IF($Q$10="Preço Unitário (R$)",PO.CustoUnitario,ROUND(PO.CustoUnitario*(1+$Z28),15-13*$X$6)),0)</f>
        <v>14.75</v>
      </c>
      <c r="T28" s="98">
        <f ca="1">IF($A28="S",VTOTAL1,IF($A28=0,0,ROUND(SomaAgrup,15-13*$X$7)))</f>
        <v>561.98</v>
      </c>
      <c r="U28" s="13" t="str">
        <f ca="1">IF($J28="","",IF($N28="","DESCRIÇÃO",IF(AND($J28="Serviço",$O28=""),"UNIDADE",IF($T28&lt;=0,"SEM VALOR",IF(AND($Y28&lt;&gt;"",$Q28&gt;$Y28),"ACIMA REF.","")))))</f>
        <v/>
      </c>
      <c r="V28" s="4" t="str">
        <f ca="1">IF(OR($A28=0,$A28="S",$A28&gt;CFF!$A$9),"",MAX(V$12:OFFSET(V28,-1,0))+1)</f>
        <v/>
      </c>
      <c r="W28" s="9" t="str">
        <f>IF(AND($J28="Serviço",$M28&lt;&gt;""),IF($L28="",$M28,CONCATENATE($L28,"-",$M28)))</f>
        <v>Sinapi-93382</v>
      </c>
      <c r="X28" s="4">
        <f ca="1">IF(AND(Fonte&lt;&gt;"",Código&lt;&gt;""),MATCH(Fonte&amp;" "&amp;IF(Fonte="sinapi",SUBSTITUTE(SUBSTITUTE(Código,"/00","/"),"/0","/"),Código),INDIRECT("'[Referência "&amp;_XLNM.DATABASE&amp;".xls]Banco'!$a:$a"),0),"X")</f>
        <v>5731</v>
      </c>
      <c r="Y28" s="121">
        <f ca="1">IF(Import.Desoneracao="sim",Referencia.Desonerado,Referencia.NaoDesonerado)</f>
        <v>34.28</v>
      </c>
      <c r="Z28" s="132">
        <f ca="1">ROUND(IF(ISNUMBER(R28),R28,IF(LEFT(R28,3)="BDI",HLOOKUP(R28,DADOS!$T$37:$X$38,2,FALSE),0)),15-11*$X$5)</f>
        <v>0.2009</v>
      </c>
      <c r="AA28" s="4"/>
    </row>
    <row r="29" spans="1:27" ht="12.75">
      <c r="A29">
        <f t="shared" si="0"/>
        <v>2</v>
      </c>
      <c r="B29">
        <f ca="1" t="shared" si="1"/>
        <v>2</v>
      </c>
      <c r="C29">
        <f ca="1" t="shared" si="2"/>
        <v>1</v>
      </c>
      <c r="D29">
        <f ca="1" t="shared" si="3"/>
        <v>4</v>
      </c>
      <c r="E29">
        <f ca="1" t="shared" si="4"/>
        <v>0</v>
      </c>
      <c r="F29">
        <f ca="1" t="shared" si="5"/>
        <v>0</v>
      </c>
      <c r="G29">
        <f ca="1" t="shared" si="6"/>
        <v>0</v>
      </c>
      <c r="H29">
        <f ca="1" t="shared" si="7"/>
        <v>2</v>
      </c>
      <c r="I29" t="e">
        <f ca="1" t="shared" si="8"/>
        <v>#N/A</v>
      </c>
      <c r="J29" s="120" t="s">
        <v>100</v>
      </c>
      <c r="K29" s="162" t="str">
        <f ca="1" t="shared" si="9"/>
        <v>1.4.</v>
      </c>
      <c r="L29" s="209"/>
      <c r="M29" s="209"/>
      <c r="N29" s="230" t="s">
        <v>252</v>
      </c>
      <c r="O29" s="229" t="str">
        <f ca="1">Referencia.Unidade</f>
        <v/>
      </c>
      <c r="P29" s="232">
        <f ca="1">OFFSET(PLQ!$E$12,ROW($P29)-ROW(P$12),0)</f>
        <v>0</v>
      </c>
      <c r="Q29" s="228"/>
      <c r="R29" s="231" t="s">
        <v>7</v>
      </c>
      <c r="S29" s="121">
        <f t="shared" si="10"/>
        <v>0</v>
      </c>
      <c r="T29" s="98">
        <f ca="1" t="shared" si="11"/>
        <v>310.61</v>
      </c>
      <c r="U29" s="13" t="str">
        <f ca="1" t="shared" si="12"/>
        <v/>
      </c>
      <c r="V29" s="4">
        <f ca="1">IF(OR($A29=0,$A29="S",$A29&gt;CFF!$A$9),"",MAX(V$12:OFFSET(V29,-1,0))+1)</f>
        <v>5</v>
      </c>
      <c r="W29" s="9" t="b">
        <f t="shared" si="13"/>
        <v>0</v>
      </c>
      <c r="X29" s="4" t="str">
        <f ca="1" t="shared" si="14"/>
        <v>X</v>
      </c>
      <c r="Y29" s="121">
        <f ca="1" t="shared" si="15"/>
        <v>0</v>
      </c>
      <c r="Z29" s="132">
        <f ca="1">ROUND(IF(ISNUMBER(R29),R29,IF(LEFT(R29,3)="BDI",HLOOKUP(R29,DADOS!$T$37:$X$38,2,FALSE),0)),15-11*$X$5)</f>
        <v>0.2009</v>
      </c>
      <c r="AA29" s="4"/>
    </row>
    <row r="30" spans="1:27" ht="12.75">
      <c r="A30" t="str">
        <f>CHOOSE(1+LOG(1+2*(J30="Meta")+4*(J30="Nível 2")+8*(J30="Nível 3")+16*(J30="Nível 4")+32*(J30="Serviço"),2),0,1,2,3,4,"S")</f>
        <v>S</v>
      </c>
      <c r="B30">
        <f>IF(OR(A30="S",A30=0),0,IF(ISERROR(I30),H30,SMALL(H30:I30,1)))</f>
        <v>0</v>
      </c>
      <c r="C30">
        <f ca="1">IF($A30=1,OFFSET(C30,-1,0)+1,OFFSET(C30,-1,0))</f>
        <v>1</v>
      </c>
      <c r="D30">
        <f ca="1">IF($A30=1,0,IF($A30=2,OFFSET(D30,-1,0)+1,OFFSET(D30,-1,0)))</f>
        <v>4</v>
      </c>
      <c r="E30">
        <f ca="1">IF(AND($A30&lt;=2,$A30&lt;&gt;0),0,IF($A30=3,OFFSET(E30,-1,0)+1,OFFSET(E30,-1,0)))</f>
        <v>0</v>
      </c>
      <c r="F30">
        <f ca="1">IF(AND($A30&lt;=3,$A30&lt;&gt;0),0,IF($A30=4,OFFSET(F30,-1,0)+1,OFFSET(F30,-1,0)))</f>
        <v>0</v>
      </c>
      <c r="G30">
        <f ca="1">IF(AND($A30&lt;=4,$A30&lt;&gt;0),0,IF($A30="S",OFFSET(G30,-1,0)+1,OFFSET(G30,-1,0)))</f>
        <v>1</v>
      </c>
      <c r="H30">
        <f ca="1" t="shared" si="7"/>
        <v>0</v>
      </c>
      <c r="I30">
        <f ca="1" t="shared" si="8"/>
        <v>0</v>
      </c>
      <c r="J30" s="120" t="s">
        <v>103</v>
      </c>
      <c r="K30" s="162" t="str">
        <f ca="1">IF($A30=0,"-",CONCATENATE(C30&amp;".",IF(AND($A$5&gt;=2,$A30&gt;=2),D30&amp;".",""),IF(AND($A$5&gt;=3,$A30&gt;=3),E30&amp;".",""),IF(AND($A$5&gt;=4,$A30&gt;=4),F30&amp;".",""),IF($A30="S",G30&amp;".","")))</f>
        <v>1.4.1.</v>
      </c>
      <c r="L30" s="209" t="s">
        <v>266</v>
      </c>
      <c r="M30" s="209" t="s">
        <v>251</v>
      </c>
      <c r="N30" s="230" t="str">
        <f ca="1">IF($A30="S",Referencia.Descricao,"(digite a descrição aqui)")</f>
        <v xml:space="preserve">Placa de sinalização retangular </v>
      </c>
      <c r="O30" s="229" t="str">
        <f ca="1">Referencia.Unidade</f>
        <v>UNIDADE</v>
      </c>
      <c r="P30" s="232">
        <f ca="1">OFFSET(PLQ!$E$12,ROW($P30)-ROW(P$12),0)</f>
        <v>1</v>
      </c>
      <c r="Q30" s="228">
        <v>258.65</v>
      </c>
      <c r="R30" s="231" t="s">
        <v>7</v>
      </c>
      <c r="S30" s="121">
        <f aca="true" t="shared" si="29" ref="S30:S56">IF($A30="S",IF($Q$10="Preço Unitário (R$)",PO.CustoUnitario,ROUND(PO.CustoUnitario*(1+$Z30),15-13*$X$6)),0)</f>
        <v>310.61</v>
      </c>
      <c r="T30" s="98">
        <f aca="true" ca="1" t="shared" si="30" ref="T30:T56">IF($A30="S",VTOTAL1,IF($A30=0,0,ROUND(SomaAgrup,15-13*$X$7)))</f>
        <v>310.61</v>
      </c>
      <c r="U30" s="13" t="str">
        <f ca="1">IF($J30="","",IF($N30="","DESCRIÇÃO",IF(AND($J30="Serviço",$O30=""),"UNIDADE",IF($T30&lt;=0,"SEM VALOR",IF(AND($Y30&lt;&gt;"",$Q30&gt;$Y30),"ACIMA REF.","")))))</f>
        <v/>
      </c>
      <c r="V30" s="4" t="str">
        <f ca="1">IF(OR($A30=0,$A30="S",$A30&gt;CFF!$A$9),"",MAX(V$12:OFFSET(V30,-1,0))+1)</f>
        <v/>
      </c>
      <c r="W30" s="9" t="str">
        <f>IF(AND($J30="Serviço",$M30&lt;&gt;""),IF($L30="",$M30,CONCATENATE($L30,"-",$M30)))</f>
        <v>Composição -06</v>
      </c>
      <c r="X30" s="4">
        <f aca="true" t="shared" si="31" ref="X30:X56">IF(AND(Fonte&lt;&gt;"",Código&lt;&gt;""),MATCH(Fonte&amp;" "&amp;IF(Fonte="sinapi",SUBSTITUTE(SUBSTITUTE(Código,"/00","/"),"/0","/"),Código),INDIRECT("'[Referência "&amp;_XLNM.DATABASE&amp;".xls]Banco'!$a:$a"),0),"X")</f>
        <v>12</v>
      </c>
      <c r="Y30" s="121">
        <f ca="1">IF(Import.Desoneracao="sim",Referencia.Desonerado,Referencia.NaoDesonerado)</f>
        <v>258.65</v>
      </c>
      <c r="Z30" s="132">
        <f ca="1">ROUND(IF(ISNUMBER(R30),R30,IF(LEFT(R30,3)="BDI",HLOOKUP(R30,DADOS!$T$37:$X$38,2,FALSE),0)),15-11*$X$5)</f>
        <v>0.2009</v>
      </c>
      <c r="AA30" s="4"/>
    </row>
    <row r="31" spans="1:27" ht="12.75">
      <c r="A31">
        <f aca="true" t="shared" si="32" ref="A31:A56">CHOOSE(1+LOG(1+2*(J31="Meta")+4*(J31="Nível 2")+8*(J31="Nível 3")+16*(J31="Nível 4")+32*(J31="Serviço"),2),0,1,2,3,4,"S")</f>
        <v>1</v>
      </c>
      <c r="B31">
        <f aca="true" t="shared" si="33" ref="B31:B56">IF(OR(A31="S",A31=0),0,IF(ISERROR(I31),H31,SMALL(H31:I31,1)))</f>
        <v>16</v>
      </c>
      <c r="C31">
        <f aca="true" ca="1" t="shared" si="34" ref="C31:C56">IF($A31=1,OFFSET(C31,-1,0)+1,OFFSET(C31,-1,0))</f>
        <v>2</v>
      </c>
      <c r="D31">
        <f aca="true" ca="1" t="shared" si="35" ref="D31:D56">IF($A31=1,0,IF($A31=2,OFFSET(D31,-1,0)+1,OFFSET(D31,-1,0)))</f>
        <v>0</v>
      </c>
      <c r="E31">
        <f aca="true" ca="1" t="shared" si="36" ref="E31:E56">IF(AND($A31&lt;=2,$A31&lt;&gt;0),0,IF($A31=3,OFFSET(E31,-1,0)+1,OFFSET(E31,-1,0)))</f>
        <v>0</v>
      </c>
      <c r="F31">
        <f aca="true" ca="1" t="shared" si="37" ref="F31:F56">IF(AND($A31&lt;=3,$A31&lt;&gt;0),0,IF($A31=4,OFFSET(F31,-1,0)+1,OFFSET(F31,-1,0)))</f>
        <v>0</v>
      </c>
      <c r="G31">
        <f aca="true" ca="1" t="shared" si="38" ref="G31:G56">IF(AND($A31&lt;=4,$A31&lt;&gt;0),0,IF($A31="S",OFFSET(G31,-1,0)+1,OFFSET(G31,-1,0)))</f>
        <v>0</v>
      </c>
      <c r="H31">
        <f ca="1" t="shared" si="7"/>
        <v>26</v>
      </c>
      <c r="I31">
        <f ca="1" t="shared" si="8"/>
        <v>16</v>
      </c>
      <c r="J31" s="120" t="s">
        <v>99</v>
      </c>
      <c r="K31" s="162" t="str">
        <f aca="true" t="shared" si="39" ref="K31:K56">IF($A31=0,"-",CONCATENATE(C31&amp;".",IF(AND($A$5&gt;=2,$A31&gt;=2),D31&amp;".",""),IF(AND($A$5&gt;=3,$A31&gt;=3),E31&amp;".",""),IF(AND($A$5&gt;=4,$A31&gt;=4),F31&amp;".",""),IF($A31="S",G31&amp;".","")))</f>
        <v>2.</v>
      </c>
      <c r="L31" s="209"/>
      <c r="M31" s="209"/>
      <c r="N31" s="230" t="s">
        <v>261</v>
      </c>
      <c r="O31" s="229" t="str">
        <f ca="1">Referencia.Unidade</f>
        <v/>
      </c>
      <c r="P31" s="232">
        <f ca="1">OFFSET(PLQ!$E$12,ROW($P31)-ROW(P$12),0)</f>
        <v>0</v>
      </c>
      <c r="Q31" s="228"/>
      <c r="R31" s="231" t="s">
        <v>7</v>
      </c>
      <c r="S31" s="121">
        <f t="shared" si="29"/>
        <v>0</v>
      </c>
      <c r="T31" s="98">
        <f ca="1" t="shared" si="30"/>
        <v>93384.89</v>
      </c>
      <c r="U31" s="13" t="str">
        <f aca="true" t="shared" si="40" ref="U31:U56">IF($J31="","",IF($N31="","DESCRIÇÃO",IF(AND($J31="Serviço",$O31=""),"UNIDADE",IF($T31&lt;=0,"SEM VALOR",IF(AND($Y31&lt;&gt;"",$Q31&gt;$Y31),"ACIMA REF.","")))))</f>
        <v/>
      </c>
      <c r="V31" s="4">
        <f ca="1">IF(OR($A31=0,$A31="S",$A31&gt;CFF!$A$9),"",MAX(V$12:OFFSET(V31,-1,0))+1)</f>
        <v>6</v>
      </c>
      <c r="W31" s="9" t="b">
        <f aca="true" t="shared" si="41" ref="W31:W56">IF(AND($J31="Serviço",$M31&lt;&gt;""),IF($L31="",$M31,CONCATENATE($L31,"-",$M31)))</f>
        <v>0</v>
      </c>
      <c r="X31" s="4" t="str">
        <f ca="1" t="shared" si="31"/>
        <v>X</v>
      </c>
      <c r="Y31" s="121">
        <f ca="1">IF(Import.Desoneracao="sim",Referencia.Desonerado,Referencia.NaoDesonerado)</f>
        <v>0</v>
      </c>
      <c r="Z31" s="132">
        <f ca="1">ROUND(IF(ISNUMBER(R31),R31,IF(LEFT(R31,3)="BDI",HLOOKUP(R31,DADOS!$T$37:$X$38,2,FALSE),0)),15-11*$X$5)</f>
        <v>0.2009</v>
      </c>
      <c r="AA31" s="4"/>
    </row>
    <row r="32" spans="1:27" ht="12.75">
      <c r="A32">
        <f t="shared" si="32"/>
        <v>2</v>
      </c>
      <c r="B32">
        <f ca="1" t="shared" si="33"/>
        <v>2</v>
      </c>
      <c r="C32">
        <f ca="1" t="shared" si="34"/>
        <v>2</v>
      </c>
      <c r="D32">
        <f ca="1" t="shared" si="35"/>
        <v>1</v>
      </c>
      <c r="E32">
        <f ca="1" t="shared" si="36"/>
        <v>0</v>
      </c>
      <c r="F32">
        <f ca="1" t="shared" si="37"/>
        <v>0</v>
      </c>
      <c r="G32">
        <f ca="1" t="shared" si="38"/>
        <v>0</v>
      </c>
      <c r="H32">
        <f ca="1" t="shared" si="7"/>
        <v>15</v>
      </c>
      <c r="I32">
        <f ca="1" t="shared" si="8"/>
        <v>2</v>
      </c>
      <c r="J32" s="120" t="s">
        <v>100</v>
      </c>
      <c r="K32" s="162" t="str">
        <f ca="1" t="shared" si="39"/>
        <v>2.1.</v>
      </c>
      <c r="L32" s="209"/>
      <c r="M32" s="209"/>
      <c r="N32" s="230" t="s">
        <v>229</v>
      </c>
      <c r="O32" s="229" t="str">
        <f ca="1">Referencia.Unidade</f>
        <v/>
      </c>
      <c r="P32" s="232">
        <f ca="1">OFFSET(PLQ!$E$12,ROW($P32)-ROW(P$12),0)</f>
        <v>0</v>
      </c>
      <c r="Q32" s="228"/>
      <c r="R32" s="231" t="s">
        <v>7</v>
      </c>
      <c r="S32" s="121">
        <f t="shared" si="29"/>
        <v>0</v>
      </c>
      <c r="T32" s="98">
        <f ca="1" t="shared" si="30"/>
        <v>175.89</v>
      </c>
      <c r="U32" s="13" t="str">
        <f ca="1" t="shared" si="40"/>
        <v/>
      </c>
      <c r="V32" s="4">
        <f ca="1">IF(OR($A32=0,$A32="S",$A32&gt;CFF!$A$9),"",MAX(V$12:OFFSET(V32,-1,0))+1)</f>
        <v>7</v>
      </c>
      <c r="W32" s="9" t="b">
        <f t="shared" si="41"/>
        <v>0</v>
      </c>
      <c r="X32" s="4" t="str">
        <f ca="1" t="shared" si="31"/>
        <v>X</v>
      </c>
      <c r="Y32" s="121">
        <f ca="1">IF(Import.Desoneracao="sim",Referencia.Desonerado,Referencia.NaoDesonerado)</f>
        <v>0</v>
      </c>
      <c r="Z32" s="132">
        <f ca="1">ROUND(IF(ISNUMBER(R32),R32,IF(LEFT(R32,3)="BDI",HLOOKUP(R32,DADOS!$T$37:$X$38,2,FALSE),0)),15-11*$X$5)</f>
        <v>0.2009</v>
      </c>
      <c r="AA32" s="4"/>
    </row>
    <row r="33" spans="1:27" ht="12.75">
      <c r="A33" t="str">
        <f t="shared" si="32"/>
        <v>S</v>
      </c>
      <c r="B33">
        <f t="shared" si="33"/>
        <v>0</v>
      </c>
      <c r="C33">
        <f ca="1" t="shared" si="34"/>
        <v>2</v>
      </c>
      <c r="D33">
        <f ca="1" t="shared" si="35"/>
        <v>1</v>
      </c>
      <c r="E33">
        <f ca="1" t="shared" si="36"/>
        <v>0</v>
      </c>
      <c r="F33">
        <f ca="1" t="shared" si="37"/>
        <v>0</v>
      </c>
      <c r="G33">
        <f ca="1" t="shared" si="38"/>
        <v>1</v>
      </c>
      <c r="H33">
        <f ca="1" t="shared" si="7"/>
        <v>0</v>
      </c>
      <c r="I33">
        <f ca="1" t="shared" si="8"/>
        <v>0</v>
      </c>
      <c r="J33" s="120" t="s">
        <v>103</v>
      </c>
      <c r="K33" s="162" t="str">
        <f ca="1" t="shared" si="39"/>
        <v>2.1.1.</v>
      </c>
      <c r="L33" s="209" t="s">
        <v>230</v>
      </c>
      <c r="M33" s="209" t="s">
        <v>240</v>
      </c>
      <c r="N33" s="230" t="str">
        <f ca="1">IF($A33="S",Referencia.Descricao,"(digite a descrição aqui)")</f>
        <v>REGULARIZAÇÃO DE SUPERFÍCIES COM MOTONIVELADORA. AF_11/2019</v>
      </c>
      <c r="O33" s="229" t="str">
        <f ca="1">Referencia.Unidade</f>
        <v>M2</v>
      </c>
      <c r="P33" s="232">
        <f ca="1">OFFSET(PLQ!$E$12,ROW($P33)-ROW(P$12),0)</f>
        <v>1353</v>
      </c>
      <c r="Q33" s="228">
        <v>0.11</v>
      </c>
      <c r="R33" s="231" t="s">
        <v>7</v>
      </c>
      <c r="S33" s="121">
        <f ca="1" t="shared" si="29"/>
        <v>0.13</v>
      </c>
      <c r="T33" s="98">
        <f ca="1" t="shared" si="30"/>
        <v>175.89</v>
      </c>
      <c r="U33" s="13" t="str">
        <f ca="1" t="shared" si="40"/>
        <v/>
      </c>
      <c r="V33" s="4" t="str">
        <f ca="1">IF(OR($A33=0,$A33="S",$A33&gt;CFF!$A$9),"",MAX(V$12:OFFSET(V33,-1,0))+1)</f>
        <v/>
      </c>
      <c r="W33" s="9" t="str">
        <f t="shared" si="41"/>
        <v>Sinapi-100575</v>
      </c>
      <c r="X33" s="4">
        <f ca="1" t="shared" si="31"/>
        <v>5908</v>
      </c>
      <c r="Y33" s="121">
        <f ca="1">IF(Import.Desoneracao="sim",Referencia.Desonerado,Referencia.NaoDesonerado)</f>
        <v>0.13</v>
      </c>
      <c r="Z33" s="132">
        <f ca="1">ROUND(IF(ISNUMBER(R33),R33,IF(LEFT(R33,3)="BDI",HLOOKUP(R33,DADOS!$T$37:$X$38,2,FALSE),0)),15-11*$X$5)</f>
        <v>0.2009</v>
      </c>
      <c r="AA33" s="4"/>
    </row>
    <row r="34" spans="1:27" ht="12.75">
      <c r="A34">
        <f t="shared" si="32"/>
        <v>2</v>
      </c>
      <c r="B34">
        <f ca="1" t="shared" si="33"/>
        <v>7</v>
      </c>
      <c r="C34">
        <f ca="1" t="shared" si="34"/>
        <v>2</v>
      </c>
      <c r="D34">
        <f ca="1" t="shared" si="35"/>
        <v>2</v>
      </c>
      <c r="E34">
        <f ca="1" t="shared" si="36"/>
        <v>0</v>
      </c>
      <c r="F34">
        <f ca="1" t="shared" si="37"/>
        <v>0</v>
      </c>
      <c r="G34">
        <f ca="1" t="shared" si="38"/>
        <v>0</v>
      </c>
      <c r="H34">
        <f ca="1" t="shared" si="7"/>
        <v>13</v>
      </c>
      <c r="I34">
        <f ca="1" t="shared" si="8"/>
        <v>7</v>
      </c>
      <c r="J34" s="120" t="s">
        <v>100</v>
      </c>
      <c r="K34" s="162" t="str">
        <f ca="1" t="shared" si="39"/>
        <v>2.2.</v>
      </c>
      <c r="L34" s="209"/>
      <c r="M34" s="209"/>
      <c r="N34" s="230" t="s">
        <v>231</v>
      </c>
      <c r="O34" s="229" t="str">
        <f ca="1">Referencia.Unidade</f>
        <v/>
      </c>
      <c r="P34" s="232">
        <f ca="1">OFFSET(PLQ!$E$12,ROW($P34)-ROW(P$12),0)</f>
        <v>0</v>
      </c>
      <c r="Q34" s="228"/>
      <c r="R34" s="231" t="s">
        <v>7</v>
      </c>
      <c r="S34" s="121">
        <f t="shared" si="29"/>
        <v>0</v>
      </c>
      <c r="T34" s="98">
        <f ca="1" t="shared" si="30"/>
        <v>3189.24</v>
      </c>
      <c r="U34" s="13" t="str">
        <f ca="1" t="shared" si="40"/>
        <v/>
      </c>
      <c r="V34" s="4">
        <f ca="1">IF(OR($A34=0,$A34="S",$A34&gt;CFF!$A$9),"",MAX(V$12:OFFSET(V34,-1,0))+1)</f>
        <v>8</v>
      </c>
      <c r="W34" s="9" t="b">
        <f t="shared" si="41"/>
        <v>0</v>
      </c>
      <c r="X34" s="4" t="str">
        <f ca="1" t="shared" si="31"/>
        <v>X</v>
      </c>
      <c r="Y34" s="121">
        <f ca="1">IF(Import.Desoneracao="sim",Referencia.Desonerado,Referencia.NaoDesonerado)</f>
        <v>0</v>
      </c>
      <c r="Z34" s="132">
        <f ca="1">ROUND(IF(ISNUMBER(R34),R34,IF(LEFT(R34,3)="BDI",HLOOKUP(R34,DADOS!$T$37:$X$38,2,FALSE),0)),15-11*$X$5)</f>
        <v>0.2009</v>
      </c>
      <c r="AA34" s="4"/>
    </row>
    <row r="35" spans="1:27" ht="52.8">
      <c r="A35" t="str">
        <f t="shared" si="32"/>
        <v>S</v>
      </c>
      <c r="B35">
        <f t="shared" si="33"/>
        <v>0</v>
      </c>
      <c r="C35">
        <f ca="1" t="shared" si="34"/>
        <v>2</v>
      </c>
      <c r="D35">
        <f ca="1" t="shared" si="35"/>
        <v>2</v>
      </c>
      <c r="E35">
        <f ca="1" t="shared" si="36"/>
        <v>0</v>
      </c>
      <c r="F35">
        <f ca="1" t="shared" si="37"/>
        <v>0</v>
      </c>
      <c r="G35">
        <f ca="1" t="shared" si="38"/>
        <v>1</v>
      </c>
      <c r="H35">
        <f ca="1" t="shared" si="7"/>
        <v>0</v>
      </c>
      <c r="I35">
        <f ca="1" t="shared" si="8"/>
        <v>0</v>
      </c>
      <c r="J35" s="120" t="s">
        <v>103</v>
      </c>
      <c r="K35" s="162" t="str">
        <f ca="1" t="shared" si="39"/>
        <v>2.2.1.</v>
      </c>
      <c r="L35" s="209" t="s">
        <v>230</v>
      </c>
      <c r="M35" s="209" t="s">
        <v>242</v>
      </c>
      <c r="N35" s="230" t="str">
        <f ca="1">IF($A35="S",Referencia.Descricao,"(digite a descrição aqui)")</f>
        <v>ESCAVAÇÃO MECANIZADA DE VALA COM PROFUNDIDADE ATÉ 1,5 M (MÉDIA MONTANTE E JUSANTE/UMA COMPOSIÇÃO POR TRECHO), RETROESCAV. (0,26 M3), LARGURA DE 0,8 M A 1,5 M, EM SOLO DE 1A CATEGORIA, LOCAIS COM BAIXO NÍVEL DE INTERFERÊNCIA. AF_02/2021</v>
      </c>
      <c r="O35" s="229" t="str">
        <f ca="1">Referencia.Unidade</f>
        <v>M3</v>
      </c>
      <c r="P35" s="232">
        <f ca="1">OFFSET(PLQ!$E$12,ROW($P35)-ROW(P$12),0)</f>
        <v>14.47</v>
      </c>
      <c r="Q35" s="228">
        <v>7.64</v>
      </c>
      <c r="R35" s="231" t="s">
        <v>7</v>
      </c>
      <c r="S35" s="121">
        <f ca="1" t="shared" si="29"/>
        <v>9.17</v>
      </c>
      <c r="T35" s="98">
        <f ca="1" t="shared" si="30"/>
        <v>132.69</v>
      </c>
      <c r="U35" s="13" t="str">
        <f ca="1" t="shared" si="40"/>
        <v/>
      </c>
      <c r="V35" s="4" t="str">
        <f ca="1">IF(OR($A35=0,$A35="S",$A35&gt;CFF!$A$9),"",MAX(V$12:OFFSET(V35,-1,0))+1)</f>
        <v/>
      </c>
      <c r="W35" s="9" t="str">
        <f t="shared" si="41"/>
        <v>Sinapi-90106</v>
      </c>
      <c r="X35" s="4">
        <f ca="1" t="shared" si="31"/>
        <v>5625</v>
      </c>
      <c r="Y35" s="121">
        <f ca="1">IF(Import.Desoneracao="sim",Referencia.Desonerado,Referencia.NaoDesonerado)</f>
        <v>7.64</v>
      </c>
      <c r="Z35" s="132">
        <f ca="1">ROUND(IF(ISNUMBER(R35),R35,IF(LEFT(R35,3)="BDI",HLOOKUP(R35,DADOS!$T$37:$X$38,2,FALSE),0)),15-11*$X$5)</f>
        <v>0.2009</v>
      </c>
      <c r="AA35" s="4"/>
    </row>
    <row r="36" spans="1:27" ht="26.4">
      <c r="A36" t="str">
        <f t="shared" si="32"/>
        <v>S</v>
      </c>
      <c r="B36">
        <f t="shared" si="33"/>
        <v>0</v>
      </c>
      <c r="C36">
        <f ca="1" t="shared" si="34"/>
        <v>2</v>
      </c>
      <c r="D36">
        <f ca="1" t="shared" si="35"/>
        <v>2</v>
      </c>
      <c r="E36">
        <f ca="1" t="shared" si="36"/>
        <v>0</v>
      </c>
      <c r="F36">
        <f ca="1" t="shared" si="37"/>
        <v>0</v>
      </c>
      <c r="G36">
        <f ca="1" t="shared" si="38"/>
        <v>2</v>
      </c>
      <c r="H36">
        <f ca="1" t="shared" si="7"/>
        <v>0</v>
      </c>
      <c r="I36">
        <f ca="1" t="shared" si="8"/>
        <v>0</v>
      </c>
      <c r="J36" s="120" t="s">
        <v>103</v>
      </c>
      <c r="K36" s="162" t="str">
        <f ca="1" t="shared" si="39"/>
        <v>2.2.2.</v>
      </c>
      <c r="L36" s="209" t="s">
        <v>230</v>
      </c>
      <c r="M36" s="209" t="s">
        <v>260</v>
      </c>
      <c r="N36" s="230" t="str">
        <f ca="1">IF($A36="S",Referencia.Descricao,"(digite a descrição aqui)")</f>
        <v>PREPARO DE FUNDO DE VALA COM LARGURA MENOR QUE 1,5 M (ACERTO DO SOLO NATURAL). AF_08/2020</v>
      </c>
      <c r="O36" s="229" t="str">
        <f ca="1">Referencia.Unidade</f>
        <v>M2</v>
      </c>
      <c r="P36" s="232">
        <f ca="1">OFFSET(PLQ!$E$12,ROW($P36)-ROW(P$12),0)</f>
        <v>11.77</v>
      </c>
      <c r="Q36" s="228">
        <v>6.13</v>
      </c>
      <c r="R36" s="231" t="s">
        <v>7</v>
      </c>
      <c r="S36" s="121">
        <f ca="1" t="shared" si="29"/>
        <v>7.36</v>
      </c>
      <c r="T36" s="98">
        <f ca="1" t="shared" si="30"/>
        <v>86.63</v>
      </c>
      <c r="U36" s="13" t="str">
        <f ca="1" t="shared" si="40"/>
        <v/>
      </c>
      <c r="V36" s="4" t="str">
        <f ca="1">IF(OR($A36=0,$A36="S",$A36&gt;CFF!$A$9),"",MAX(V$12:OFFSET(V36,-1,0))+1)</f>
        <v/>
      </c>
      <c r="W36" s="9" t="str">
        <f t="shared" si="41"/>
        <v>Sinapi-101616</v>
      </c>
      <c r="X36" s="4">
        <f ca="1" t="shared" si="31"/>
        <v>5737</v>
      </c>
      <c r="Y36" s="121">
        <f ca="1">IF(Import.Desoneracao="sim",Referencia.Desonerado,Referencia.NaoDesonerado)</f>
        <v>6.13</v>
      </c>
      <c r="Z36" s="132">
        <f ca="1">ROUND(IF(ISNUMBER(R36),R36,IF(LEFT(R36,3)="BDI",HLOOKUP(R36,DADOS!$T$37:$X$38,2,FALSE),0)),15-11*$X$5)</f>
        <v>0.2009</v>
      </c>
      <c r="AA36" s="4"/>
    </row>
    <row r="37" spans="1:27" ht="12.75">
      <c r="A37" t="str">
        <f t="shared" si="32"/>
        <v>S</v>
      </c>
      <c r="B37">
        <f t="shared" si="33"/>
        <v>0</v>
      </c>
      <c r="C37">
        <f ca="1" t="shared" si="34"/>
        <v>2</v>
      </c>
      <c r="D37">
        <f ca="1" t="shared" si="35"/>
        <v>2</v>
      </c>
      <c r="E37">
        <f ca="1" t="shared" si="36"/>
        <v>0</v>
      </c>
      <c r="F37">
        <f ca="1" t="shared" si="37"/>
        <v>0</v>
      </c>
      <c r="G37">
        <f ca="1" t="shared" si="38"/>
        <v>3</v>
      </c>
      <c r="H37">
        <f ca="1" t="shared" si="7"/>
        <v>0</v>
      </c>
      <c r="I37">
        <f ca="1" t="shared" si="8"/>
        <v>0</v>
      </c>
      <c r="J37" s="120" t="s">
        <v>103</v>
      </c>
      <c r="K37" s="162" t="str">
        <f ca="1" t="shared" si="39"/>
        <v>2.2.3.</v>
      </c>
      <c r="L37" s="209" t="s">
        <v>249</v>
      </c>
      <c r="M37" s="209" t="s">
        <v>253</v>
      </c>
      <c r="N37" s="230" t="str">
        <f ca="1">IF($A37="S",Referencia.Descricao,"(digite a descrição aqui)")</f>
        <v xml:space="preserve">PEDRA BRITADA N. 1 (9,5 a 19 MM) POSTO PEDREIRA/FORNECEDOR, SEM FRETE                                                                                                                                                                                                                                                                                                                                                                                                                                     </v>
      </c>
      <c r="O37" s="229" t="str">
        <f ca="1">Referencia.Unidade</f>
        <v xml:space="preserve">M3    </v>
      </c>
      <c r="P37" s="232">
        <f ca="1">OFFSET(PLQ!$E$12,ROW($P37)-ROW(P$12),0)</f>
        <v>0.58</v>
      </c>
      <c r="Q37" s="228">
        <v>72.13</v>
      </c>
      <c r="R37" s="231" t="s">
        <v>7</v>
      </c>
      <c r="S37" s="121">
        <f ca="1" t="shared" si="29"/>
        <v>86.62</v>
      </c>
      <c r="T37" s="98">
        <f ca="1" t="shared" si="30"/>
        <v>50.24</v>
      </c>
      <c r="U37" s="13" t="str">
        <f ca="1" t="shared" si="40"/>
        <v/>
      </c>
      <c r="V37" s="4" t="str">
        <f ca="1">IF(OR($A37=0,$A37="S",$A37&gt;CFF!$A$9),"",MAX(V$12:OFFSET(V37,-1,0))+1)</f>
        <v/>
      </c>
      <c r="W37" s="9" t="str">
        <f t="shared" si="41"/>
        <v>Sinapi-i-4721</v>
      </c>
      <c r="X37" s="4">
        <f ca="1" t="shared" si="31"/>
        <v>10828</v>
      </c>
      <c r="Y37" s="121">
        <f ca="1">IF(Import.Desoneracao="sim",Referencia.Desonerado,Referencia.NaoDesonerado)</f>
        <v>72.13</v>
      </c>
      <c r="Z37" s="132">
        <f ca="1">ROUND(IF(ISNUMBER(R37),R37,IF(LEFT(R37,3)="BDI",HLOOKUP(R37,DADOS!$T$37:$X$38,2,FALSE),0)),15-11*$X$5)</f>
        <v>0.2009</v>
      </c>
      <c r="AA37" s="4"/>
    </row>
    <row r="38" spans="1:27" ht="39.6">
      <c r="A38" t="str">
        <f t="shared" si="32"/>
        <v>S</v>
      </c>
      <c r="B38">
        <f t="shared" si="33"/>
        <v>0</v>
      </c>
      <c r="C38">
        <f ca="1" t="shared" si="34"/>
        <v>2</v>
      </c>
      <c r="D38">
        <f ca="1" t="shared" si="35"/>
        <v>2</v>
      </c>
      <c r="E38">
        <f ca="1" t="shared" si="36"/>
        <v>0</v>
      </c>
      <c r="F38">
        <f ca="1" t="shared" si="37"/>
        <v>0</v>
      </c>
      <c r="G38">
        <f ca="1" t="shared" si="38"/>
        <v>4</v>
      </c>
      <c r="H38">
        <f ca="1" t="shared" si="7"/>
        <v>0</v>
      </c>
      <c r="I38">
        <f ca="1" t="shared" si="8"/>
        <v>0</v>
      </c>
      <c r="J38" s="120" t="s">
        <v>103</v>
      </c>
      <c r="K38" s="162" t="str">
        <f ca="1" t="shared" si="39"/>
        <v>2.2.4.</v>
      </c>
      <c r="L38" s="209" t="s">
        <v>230</v>
      </c>
      <c r="M38" s="209" t="s">
        <v>258</v>
      </c>
      <c r="N38" s="230" t="str">
        <f ca="1">IF($A38="S",Referencia.Descricao,"(digite a descrição aqui)")</f>
        <v>TUBO DE CONCRETO PARA REDES COLETORAS DE ÁGUAS PLUVIAIS, DIÂMETRO DE 400 MM, JUNTA RÍGIDA, INSTALADO EM LOCAL COM BAIXO NÍVEL DE INTERFERÊNCIAS - FORNECIMENTO E ASSENTAMENTO. AF_12/2015</v>
      </c>
      <c r="O38" s="229" t="str">
        <f ca="1">Referencia.Unidade</f>
        <v>M</v>
      </c>
      <c r="P38" s="232">
        <f ca="1">OFFSET(PLQ!$E$12,ROW($P38)-ROW(P$12),0)</f>
        <v>10.7</v>
      </c>
      <c r="Q38" s="228">
        <v>110.94</v>
      </c>
      <c r="R38" s="231" t="s">
        <v>7</v>
      </c>
      <c r="S38" s="121">
        <f ca="1" t="shared" si="29"/>
        <v>133.23</v>
      </c>
      <c r="T38" s="98">
        <f ca="1" t="shared" si="30"/>
        <v>1425.56</v>
      </c>
      <c r="U38" s="13" t="str">
        <f ca="1" t="shared" si="40"/>
        <v/>
      </c>
      <c r="V38" s="4" t="str">
        <f ca="1">IF(OR($A38=0,$A38="S",$A38&gt;CFF!$A$9),"",MAX(V$12:OFFSET(V38,-1,0))+1)</f>
        <v/>
      </c>
      <c r="W38" s="9" t="str">
        <f t="shared" si="41"/>
        <v>Sinapi-92210</v>
      </c>
      <c r="X38" s="4">
        <f ca="1" t="shared" si="31"/>
        <v>174</v>
      </c>
      <c r="Y38" s="121">
        <f ca="1">IF(Import.Desoneracao="sim",Referencia.Desonerado,Referencia.NaoDesonerado)</f>
        <v>177.94</v>
      </c>
      <c r="Z38" s="132">
        <f ca="1">ROUND(IF(ISNUMBER(R38),R38,IF(LEFT(R38,3)="BDI",HLOOKUP(R38,DADOS!$T$37:$X$38,2,FALSE),0)),15-11*$X$5)</f>
        <v>0.2009</v>
      </c>
      <c r="AA38" s="4"/>
    </row>
    <row r="39" spans="1:27" ht="12.75">
      <c r="A39" t="str">
        <f t="shared" si="32"/>
        <v>S</v>
      </c>
      <c r="B39">
        <f t="shared" si="33"/>
        <v>0</v>
      </c>
      <c r="C39">
        <f ca="1" t="shared" si="34"/>
        <v>2</v>
      </c>
      <c r="D39">
        <f ca="1" t="shared" si="35"/>
        <v>2</v>
      </c>
      <c r="E39">
        <f ca="1" t="shared" si="36"/>
        <v>0</v>
      </c>
      <c r="F39">
        <f ca="1" t="shared" si="37"/>
        <v>0</v>
      </c>
      <c r="G39">
        <f ca="1" t="shared" si="38"/>
        <v>5</v>
      </c>
      <c r="H39">
        <f ca="1" t="shared" si="7"/>
        <v>0</v>
      </c>
      <c r="I39">
        <f ca="1" t="shared" si="8"/>
        <v>0</v>
      </c>
      <c r="J39" s="120" t="s">
        <v>103</v>
      </c>
      <c r="K39" s="162" t="str">
        <f ca="1" t="shared" si="39"/>
        <v>2.2.5.</v>
      </c>
      <c r="L39" s="209" t="s">
        <v>266</v>
      </c>
      <c r="M39" s="209" t="s">
        <v>241</v>
      </c>
      <c r="N39" s="230" t="str">
        <f ca="1">IF($A39="S",Referencia.Descricao,"(digite a descrição aqui)")</f>
        <v>Caixa para boca de lobo em alvenaria de tijilo maciço. Dimensões internas: 0,80x0,80x1,20m</v>
      </c>
      <c r="O39" s="229" t="str">
        <f ca="1">Referencia.Unidade</f>
        <v>UNIDADE</v>
      </c>
      <c r="P39" s="232">
        <f ca="1">OFFSET(PLQ!$E$12,ROW($P39)-ROW(P$12),0)</f>
        <v>2</v>
      </c>
      <c r="Q39" s="228">
        <v>585.31</v>
      </c>
      <c r="R39" s="231" t="s">
        <v>7</v>
      </c>
      <c r="S39" s="121">
        <f ca="1" t="shared" si="29"/>
        <v>702.9</v>
      </c>
      <c r="T39" s="98">
        <f ca="1" t="shared" si="30"/>
        <v>1405.8</v>
      </c>
      <c r="U39" s="13" t="str">
        <f ca="1" t="shared" si="40"/>
        <v/>
      </c>
      <c r="V39" s="4" t="str">
        <f ca="1">IF(OR($A39=0,$A39="S",$A39&gt;CFF!$A$9),"",MAX(V$12:OFFSET(V39,-1,0))+1)</f>
        <v/>
      </c>
      <c r="W39" s="9" t="str">
        <f t="shared" si="41"/>
        <v>Composição -02</v>
      </c>
      <c r="X39" s="4">
        <f ca="1" t="shared" si="31"/>
        <v>8</v>
      </c>
      <c r="Y39" s="121">
        <f ca="1">IF(Import.Desoneracao="sim",Referencia.Desonerado,Referencia.NaoDesonerado)</f>
        <v>585.3100000000001</v>
      </c>
      <c r="Z39" s="132">
        <f ca="1">ROUND(IF(ISNUMBER(R39),R39,IF(LEFT(R39,3)="BDI",HLOOKUP(R39,DADOS!$T$37:$X$38,2,FALSE),0)),15-11*$X$5)</f>
        <v>0.2009</v>
      </c>
      <c r="AA39" s="4"/>
    </row>
    <row r="40" spans="1:27" ht="52.8">
      <c r="A40" t="str">
        <f t="shared" si="32"/>
        <v>S</v>
      </c>
      <c r="B40">
        <f t="shared" si="33"/>
        <v>0</v>
      </c>
      <c r="C40">
        <f ca="1" t="shared" si="34"/>
        <v>2</v>
      </c>
      <c r="D40">
        <f ca="1" t="shared" si="35"/>
        <v>2</v>
      </c>
      <c r="E40">
        <f ca="1" t="shared" si="36"/>
        <v>0</v>
      </c>
      <c r="F40">
        <f ca="1" t="shared" si="37"/>
        <v>0</v>
      </c>
      <c r="G40">
        <f ca="1" t="shared" si="38"/>
        <v>6</v>
      </c>
      <c r="H40">
        <f ca="1" t="shared" si="7"/>
        <v>0</v>
      </c>
      <c r="I40">
        <f ca="1" t="shared" si="8"/>
        <v>0</v>
      </c>
      <c r="J40" s="120" t="s">
        <v>103</v>
      </c>
      <c r="K40" s="162" t="str">
        <f ca="1" t="shared" si="39"/>
        <v>2.2.6.</v>
      </c>
      <c r="L40" s="209" t="s">
        <v>230</v>
      </c>
      <c r="M40" s="209" t="s">
        <v>232</v>
      </c>
      <c r="N40" s="230" t="str">
        <f ca="1">IF($A40="S",Referencia.Descricao,"(digite a descrição aqui)")</f>
        <v>REATERRO MECANIZADO DE VALA COM RETROESCAVADEIRA (CAPACIDADE DA CAÇAMBA DA RETRO: 0,26 M³ / POTÊNCIA: 88 HP), LARGURA DE 0,8 A 1,5 M, PROFUNDIDADE ATÉ 1,5 M, COM SOLO DE 1ª CATEGORIA EM LOCAIS COM BAIXO NÍVEL DE INTERFERÊNCIA. AF_04/2016</v>
      </c>
      <c r="O40" s="229" t="str">
        <f ca="1">Referencia.Unidade</f>
        <v>M3</v>
      </c>
      <c r="P40" s="232">
        <f ca="1">OFFSET(PLQ!$E$12,ROW($P40)-ROW(P$12),0)</f>
        <v>7.06</v>
      </c>
      <c r="Q40" s="228">
        <v>10.42</v>
      </c>
      <c r="R40" s="231" t="s">
        <v>7</v>
      </c>
      <c r="S40" s="121">
        <f ca="1" t="shared" si="29"/>
        <v>12.51</v>
      </c>
      <c r="T40" s="98">
        <f ca="1" t="shared" si="30"/>
        <v>88.32</v>
      </c>
      <c r="U40" s="13" t="str">
        <f ca="1" t="shared" si="40"/>
        <v/>
      </c>
      <c r="V40" s="4" t="str">
        <f ca="1">IF(OR($A40=0,$A40="S",$A40&gt;CFF!$A$9),"",MAX(V$12:OFFSET(V40,-1,0))+1)</f>
        <v/>
      </c>
      <c r="W40" s="9" t="str">
        <f t="shared" si="41"/>
        <v>Sinapi-93379</v>
      </c>
      <c r="X40" s="4">
        <f ca="1" t="shared" si="31"/>
        <v>5728</v>
      </c>
      <c r="Y40" s="121">
        <f ca="1">IF(Import.Desoneracao="sim",Referencia.Desonerado,Referencia.NaoDesonerado)</f>
        <v>20.42</v>
      </c>
      <c r="Z40" s="132">
        <f ca="1">ROUND(IF(ISNUMBER(R40),R40,IF(LEFT(R40,3)="BDI",HLOOKUP(R40,DADOS!$T$37:$X$38,2,FALSE),0)),15-11*$X$5)</f>
        <v>0.2009</v>
      </c>
      <c r="AA40" s="4"/>
    </row>
    <row r="41" spans="1:27" ht="12.75">
      <c r="A41">
        <f t="shared" si="32"/>
        <v>2</v>
      </c>
      <c r="B41">
        <f ca="1" t="shared" si="33"/>
        <v>4</v>
      </c>
      <c r="C41">
        <f ca="1" t="shared" si="34"/>
        <v>2</v>
      </c>
      <c r="D41">
        <f ca="1" t="shared" si="35"/>
        <v>3</v>
      </c>
      <c r="E41">
        <f ca="1" t="shared" si="36"/>
        <v>0</v>
      </c>
      <c r="F41">
        <f ca="1" t="shared" si="37"/>
        <v>0</v>
      </c>
      <c r="G41">
        <f ca="1" t="shared" si="38"/>
        <v>0</v>
      </c>
      <c r="H41">
        <f ca="1" t="shared" si="7"/>
        <v>6</v>
      </c>
      <c r="I41">
        <f ca="1" t="shared" si="8"/>
        <v>4</v>
      </c>
      <c r="J41" s="120" t="s">
        <v>100</v>
      </c>
      <c r="K41" s="162" t="str">
        <f ca="1" t="shared" si="39"/>
        <v>2.3.</v>
      </c>
      <c r="L41" s="209"/>
      <c r="M41" s="209"/>
      <c r="N41" s="230" t="s">
        <v>233</v>
      </c>
      <c r="O41" s="229" t="str">
        <f ca="1">Referencia.Unidade</f>
        <v/>
      </c>
      <c r="P41" s="232">
        <f ca="1">OFFSET(PLQ!$E$12,ROW($P41)-ROW(P$12),0)</f>
        <v>0</v>
      </c>
      <c r="Q41" s="228"/>
      <c r="R41" s="231" t="s">
        <v>7</v>
      </c>
      <c r="S41" s="121">
        <f t="shared" si="29"/>
        <v>0</v>
      </c>
      <c r="T41" s="98">
        <f ca="1" t="shared" si="30"/>
        <v>89709.15</v>
      </c>
      <c r="U41" s="13" t="str">
        <f ca="1" t="shared" si="40"/>
        <v/>
      </c>
      <c r="V41" s="4">
        <f ca="1">IF(OR($A41=0,$A41="S",$A41&gt;CFF!$A$9),"",MAX(V$12:OFFSET(V41,-1,0))+1)</f>
        <v>9</v>
      </c>
      <c r="W41" s="9" t="b">
        <f t="shared" si="41"/>
        <v>0</v>
      </c>
      <c r="X41" s="4" t="str">
        <f ca="1" t="shared" si="31"/>
        <v>X</v>
      </c>
      <c r="Y41" s="121">
        <f ca="1">IF(Import.Desoneracao="sim",Referencia.Desonerado,Referencia.NaoDesonerado)</f>
        <v>0</v>
      </c>
      <c r="Z41" s="132">
        <f ca="1">ROUND(IF(ISNUMBER(R41),R41,IF(LEFT(R41,3)="BDI",HLOOKUP(R41,DADOS!$T$37:$X$38,2,FALSE),0)),15-11*$X$5)</f>
        <v>0.2009</v>
      </c>
      <c r="AA41" s="4"/>
    </row>
    <row r="42" spans="1:27" ht="26.4">
      <c r="A42" t="str">
        <f t="shared" si="32"/>
        <v>S</v>
      </c>
      <c r="B42">
        <f t="shared" si="33"/>
        <v>0</v>
      </c>
      <c r="C42">
        <f ca="1" t="shared" si="34"/>
        <v>2</v>
      </c>
      <c r="D42">
        <f ca="1" t="shared" si="35"/>
        <v>3</v>
      </c>
      <c r="E42">
        <f ca="1" t="shared" si="36"/>
        <v>0</v>
      </c>
      <c r="F42">
        <f ca="1" t="shared" si="37"/>
        <v>0</v>
      </c>
      <c r="G42">
        <f ca="1" t="shared" si="38"/>
        <v>1</v>
      </c>
      <c r="H42">
        <f ca="1" t="shared" si="7"/>
        <v>0</v>
      </c>
      <c r="I42">
        <f ca="1" t="shared" si="8"/>
        <v>0</v>
      </c>
      <c r="J42" s="120" t="s">
        <v>103</v>
      </c>
      <c r="K42" s="162" t="str">
        <f ca="1" t="shared" si="39"/>
        <v>2.3.1.</v>
      </c>
      <c r="L42" s="209" t="s">
        <v>266</v>
      </c>
      <c r="M42" s="209" t="s">
        <v>243</v>
      </c>
      <c r="N42" s="230" t="str">
        <f ca="1">IF($A42="S",Referencia.Descricao,"(digite a descrição aqui)")</f>
        <v>Execução de via em piso intertravado, com bloco retangular cor natural de 20 x 10 cm, espessura 8 cm.</v>
      </c>
      <c r="O42" s="229" t="str">
        <f ca="1">Referencia.Unidade</f>
        <v>m²</v>
      </c>
      <c r="P42" s="232">
        <f ca="1">OFFSET(PLQ!$E$12,ROW($P42)-ROW(P$12),0)</f>
        <v>1316.1</v>
      </c>
      <c r="Q42" s="228">
        <v>52.17</v>
      </c>
      <c r="R42" s="231" t="s">
        <v>7</v>
      </c>
      <c r="S42" s="121">
        <f ca="1" t="shared" si="29"/>
        <v>62.65</v>
      </c>
      <c r="T42" s="98">
        <f ca="1" t="shared" si="30"/>
        <v>82453.67</v>
      </c>
      <c r="U42" s="13" t="str">
        <f ca="1" t="shared" si="40"/>
        <v/>
      </c>
      <c r="V42" s="4" t="str">
        <f ca="1">IF(OR($A42=0,$A42="S",$A42&gt;CFF!$A$9),"",MAX(V$12:OFFSET(V42,-1,0))+1)</f>
        <v/>
      </c>
      <c r="W42" s="9" t="str">
        <f t="shared" si="41"/>
        <v>Composição -03</v>
      </c>
      <c r="X42" s="4">
        <f ca="1" t="shared" si="31"/>
        <v>9</v>
      </c>
      <c r="Y42" s="121">
        <f ca="1">IF(Import.Desoneracao="sim",Referencia.Desonerado,Referencia.NaoDesonerado)</f>
        <v>52.169999999999995</v>
      </c>
      <c r="Z42" s="132">
        <f ca="1">ROUND(IF(ISNUMBER(R42),R42,IF(LEFT(R42,3)="BDI",HLOOKUP(R42,DADOS!$T$37:$X$38,2,FALSE),0)),15-11*$X$5)</f>
        <v>0.2009</v>
      </c>
      <c r="AA42" s="4"/>
    </row>
    <row r="43" spans="1:27" ht="52.8">
      <c r="A43" t="str">
        <f t="shared" si="32"/>
        <v>S</v>
      </c>
      <c r="B43">
        <f t="shared" si="33"/>
        <v>0</v>
      </c>
      <c r="C43">
        <f ca="1" t="shared" si="34"/>
        <v>2</v>
      </c>
      <c r="D43">
        <f ca="1" t="shared" si="35"/>
        <v>3</v>
      </c>
      <c r="E43">
        <f ca="1" t="shared" si="36"/>
        <v>0</v>
      </c>
      <c r="F43">
        <f ca="1" t="shared" si="37"/>
        <v>0</v>
      </c>
      <c r="G43">
        <f ca="1" t="shared" si="38"/>
        <v>2</v>
      </c>
      <c r="H43">
        <f ca="1" t="shared" si="7"/>
        <v>0</v>
      </c>
      <c r="I43">
        <f ca="1" t="shared" si="8"/>
        <v>0</v>
      </c>
      <c r="J43" s="120" t="s">
        <v>103</v>
      </c>
      <c r="K43" s="162" t="str">
        <f ca="1" t="shared" si="39"/>
        <v>2.3.2.</v>
      </c>
      <c r="L43" s="209" t="s">
        <v>230</v>
      </c>
      <c r="M43" s="209" t="s">
        <v>234</v>
      </c>
      <c r="N43" s="230" t="str">
        <f ca="1">IF($A43="S",Referencia.Descricao,"(digite a descrição aqui)")</f>
        <v>ASSENTAMENTO DE GUIA (MEIO-FIO) EM TRECHO RETO, CONFECCIONADA EM CONCRETO PRÉ-FABRICADO, DIMENSÕES 100X15X13X30 CM (COMPRIMENTO X BASE INFERIOR X BASE SUPERIOR X ALTURA), PARA VIAS URBANAS (USO VIÁRIO). AF_06/2016</v>
      </c>
      <c r="O43" s="229" t="str">
        <f ca="1">Referencia.Unidade</f>
        <v>M</v>
      </c>
      <c r="P43" s="232">
        <f ca="1">OFFSET(PLQ!$E$12,ROW($P43)-ROW(P$12),0)</f>
        <v>224</v>
      </c>
      <c r="Q43" s="228">
        <v>25</v>
      </c>
      <c r="R43" s="231" t="s">
        <v>7</v>
      </c>
      <c r="S43" s="121">
        <f ca="1" t="shared" si="29"/>
        <v>30.02</v>
      </c>
      <c r="T43" s="98">
        <f ca="1" t="shared" si="30"/>
        <v>6724.48</v>
      </c>
      <c r="U43" s="13" t="str">
        <f ca="1" t="shared" si="40"/>
        <v/>
      </c>
      <c r="V43" s="4" t="str">
        <f ca="1">IF(OR($A43=0,$A43="S",$A43&gt;CFF!$A$9),"",MAX(V$12:OFFSET(V43,-1,0))+1)</f>
        <v/>
      </c>
      <c r="W43" s="9" t="str">
        <f t="shared" si="41"/>
        <v>Sinapi-94273</v>
      </c>
      <c r="X43" s="4">
        <f ca="1" t="shared" si="31"/>
        <v>1813</v>
      </c>
      <c r="Y43" s="121">
        <f ca="1">IF(Import.Desoneracao="sim",Referencia.Desonerado,Referencia.NaoDesonerado)</f>
        <v>54.7</v>
      </c>
      <c r="Z43" s="132">
        <f ca="1">ROUND(IF(ISNUMBER(R43),R43,IF(LEFT(R43,3)="BDI",HLOOKUP(R43,DADOS!$T$37:$X$38,2,FALSE),0)),15-11*$X$5)</f>
        <v>0.2009</v>
      </c>
      <c r="AA43" s="4"/>
    </row>
    <row r="44" spans="1:27" ht="12.75">
      <c r="A44" t="str">
        <f>CHOOSE(1+LOG(1+2*(J44="Meta")+4*(J44="Nível 2")+8*(J44="Nível 3")+16*(J44="Nível 4")+32*(J44="Serviço"),2),0,1,2,3,4,"S")</f>
        <v>S</v>
      </c>
      <c r="B44">
        <f>IF(OR(A44="S",A44=0),0,IF(ISERROR(I44),H44,SMALL(H44:I44,1)))</f>
        <v>0</v>
      </c>
      <c r="C44">
        <f ca="1">IF($A44=1,OFFSET(C44,-1,0)+1,OFFSET(C44,-1,0))</f>
        <v>2</v>
      </c>
      <c r="D44">
        <f ca="1">IF($A44=1,0,IF($A44=2,OFFSET(D44,-1,0)+1,OFFSET(D44,-1,0)))</f>
        <v>3</v>
      </c>
      <c r="E44">
        <f ca="1">IF(AND($A44&lt;=2,$A44&lt;&gt;0),0,IF($A44=3,OFFSET(E44,-1,0)+1,OFFSET(E44,-1,0)))</f>
        <v>0</v>
      </c>
      <c r="F44">
        <f ca="1">IF(AND($A44&lt;=3,$A44&lt;&gt;0),0,IF($A44=4,OFFSET(F44,-1,0)+1,OFFSET(F44,-1,0)))</f>
        <v>0</v>
      </c>
      <c r="G44">
        <f ca="1">IF(AND($A44&lt;=4,$A44&lt;&gt;0),0,IF($A44="S",OFFSET(G44,-1,0)+1,OFFSET(G44,-1,0)))</f>
        <v>3</v>
      </c>
      <c r="H44">
        <f ca="1" t="shared" si="7"/>
        <v>0</v>
      </c>
      <c r="I44">
        <f ca="1" t="shared" si="8"/>
        <v>0</v>
      </c>
      <c r="J44" s="120" t="s">
        <v>103</v>
      </c>
      <c r="K44" s="162" t="str">
        <f ca="1">IF($A44=0,"-",CONCATENATE(C44&amp;".",IF(AND($A$5&gt;=2,$A44&gt;=2),D44&amp;".",""),IF(AND($A$5&gt;=3,$A44&gt;=3),E44&amp;".",""),IF(AND($A$5&gt;=4,$A44&gt;=4),F44&amp;".",""),IF($A44="S",G44&amp;".","")))</f>
        <v>2.3.3.</v>
      </c>
      <c r="L44" s="209" t="s">
        <v>230</v>
      </c>
      <c r="M44" s="209" t="s">
        <v>267</v>
      </c>
      <c r="N44" s="230" t="str">
        <f ca="1">IF($A44="S",Referencia.Descricao,"(digite a descrição aqui)")</f>
        <v>REATERRO MANUAL DE VALAS COM COMPACTAÇÃO MECANIZADA. AF_04/2016</v>
      </c>
      <c r="O44" s="229" t="str">
        <f ca="1">Referencia.Unidade</f>
        <v>M3</v>
      </c>
      <c r="P44" s="232">
        <f ca="1">OFFSET(PLQ!$E$12,ROW($P44)-ROW(P$12),0)</f>
        <v>36</v>
      </c>
      <c r="Q44" s="228">
        <v>12.28</v>
      </c>
      <c r="R44" s="231" t="s">
        <v>7</v>
      </c>
      <c r="S44" s="121">
        <f ca="1">IF($A44="S",IF($Q$10="Preço Unitário (R$)",PO.CustoUnitario,ROUND(PO.CustoUnitario*(1+$Z44),15-13*$X$6)),0)</f>
        <v>14.75</v>
      </c>
      <c r="T44" s="98">
        <f ca="1">IF($A44="S",VTOTAL1,IF($A44=0,0,ROUND(SomaAgrup,15-13*$X$7)))</f>
        <v>531</v>
      </c>
      <c r="U44" s="13" t="str">
        <f ca="1">IF($J44="","",IF($N44="","DESCRIÇÃO",IF(AND($J44="Serviço",$O44=""),"UNIDADE",IF($T44&lt;=0,"SEM VALOR",IF(AND($Y44&lt;&gt;"",$Q44&gt;$Y44),"ACIMA REF.","")))))</f>
        <v/>
      </c>
      <c r="V44" s="4" t="str">
        <f ca="1">IF(OR($A44=0,$A44="S",$A44&gt;CFF!$A$9),"",MAX(V$12:OFFSET(V44,-1,0))+1)</f>
        <v/>
      </c>
      <c r="W44" s="9" t="str">
        <f>IF(AND($J44="Serviço",$M44&lt;&gt;""),IF($L44="",$M44,CONCATENATE($L44,"-",$M44)))</f>
        <v>Sinapi-93382</v>
      </c>
      <c r="X44" s="4">
        <f ca="1">IF(AND(Fonte&lt;&gt;"",Código&lt;&gt;""),MATCH(Fonte&amp;" "&amp;IF(Fonte="sinapi",SUBSTITUTE(SUBSTITUTE(Código,"/00","/"),"/0","/"),Código),INDIRECT("'[Referência "&amp;_XLNM.DATABASE&amp;".xls]Banco'!$a:$a"),0),"X")</f>
        <v>5731</v>
      </c>
      <c r="Y44" s="121">
        <f ca="1">IF(Import.Desoneracao="sim",Referencia.Desonerado,Referencia.NaoDesonerado)</f>
        <v>34.28</v>
      </c>
      <c r="Z44" s="132">
        <f ca="1">ROUND(IF(ISNUMBER(R44),R44,IF(LEFT(R44,3)="BDI",HLOOKUP(R44,DADOS!$T$37:$X$38,2,FALSE),0)),15-11*$X$5)</f>
        <v>0.2009</v>
      </c>
      <c r="AA44" s="4"/>
    </row>
    <row r="45" spans="1:27" ht="12.75">
      <c r="A45">
        <f t="shared" si="32"/>
        <v>2</v>
      </c>
      <c r="B45">
        <f ca="1" t="shared" si="33"/>
        <v>2</v>
      </c>
      <c r="C45">
        <f ca="1" t="shared" si="34"/>
        <v>2</v>
      </c>
      <c r="D45">
        <f ca="1" t="shared" si="35"/>
        <v>4</v>
      </c>
      <c r="E45">
        <f ca="1" t="shared" si="36"/>
        <v>0</v>
      </c>
      <c r="F45">
        <f ca="1" t="shared" si="37"/>
        <v>0</v>
      </c>
      <c r="G45">
        <f ca="1" t="shared" si="38"/>
        <v>0</v>
      </c>
      <c r="H45">
        <f ca="1" t="shared" si="7"/>
        <v>2</v>
      </c>
      <c r="I45" t="e">
        <f ca="1" t="shared" si="8"/>
        <v>#N/A</v>
      </c>
      <c r="J45" s="120" t="s">
        <v>100</v>
      </c>
      <c r="K45" s="162" t="str">
        <f ca="1" t="shared" si="39"/>
        <v>2.4.</v>
      </c>
      <c r="L45" s="209"/>
      <c r="M45" s="209"/>
      <c r="N45" s="230" t="s">
        <v>252</v>
      </c>
      <c r="O45" s="229" t="str">
        <f ca="1">Referencia.Unidade</f>
        <v/>
      </c>
      <c r="P45" s="232">
        <f ca="1">OFFSET(PLQ!$E$12,ROW($P45)-ROW(P$12),0)</f>
        <v>0</v>
      </c>
      <c r="Q45" s="228"/>
      <c r="R45" s="231" t="s">
        <v>7</v>
      </c>
      <c r="S45" s="121">
        <f t="shared" si="29"/>
        <v>0</v>
      </c>
      <c r="T45" s="98">
        <f ca="1" t="shared" si="30"/>
        <v>310.61</v>
      </c>
      <c r="U45" s="13" t="str">
        <f ca="1" t="shared" si="40"/>
        <v/>
      </c>
      <c r="V45" s="4">
        <f ca="1">IF(OR($A45=0,$A45="S",$A45&gt;CFF!$A$9),"",MAX(V$12:OFFSET(V45,-1,0))+1)</f>
        <v>10</v>
      </c>
      <c r="W45" s="9" t="b">
        <f t="shared" si="41"/>
        <v>0</v>
      </c>
      <c r="X45" s="4" t="str">
        <f ca="1" t="shared" si="31"/>
        <v>X</v>
      </c>
      <c r="Y45" s="121">
        <f ca="1">IF(Import.Desoneracao="sim",Referencia.Desonerado,Referencia.NaoDesonerado)</f>
        <v>0</v>
      </c>
      <c r="Z45" s="132">
        <f ca="1">ROUND(IF(ISNUMBER(R45),R45,IF(LEFT(R45,3)="BDI",HLOOKUP(R45,DADOS!$T$37:$X$38,2,FALSE),0)),15-11*$X$5)</f>
        <v>0.2009</v>
      </c>
      <c r="AA45" s="4"/>
    </row>
    <row r="46" spans="1:27" ht="12.75">
      <c r="A46" t="str">
        <f t="shared" si="32"/>
        <v>S</v>
      </c>
      <c r="B46">
        <f t="shared" si="33"/>
        <v>0</v>
      </c>
      <c r="C46">
        <f ca="1" t="shared" si="34"/>
        <v>2</v>
      </c>
      <c r="D46">
        <f ca="1" t="shared" si="35"/>
        <v>4</v>
      </c>
      <c r="E46">
        <f ca="1" t="shared" si="36"/>
        <v>0</v>
      </c>
      <c r="F46">
        <f ca="1" t="shared" si="37"/>
        <v>0</v>
      </c>
      <c r="G46">
        <f ca="1" t="shared" si="38"/>
        <v>1</v>
      </c>
      <c r="H46">
        <f ca="1" t="shared" si="7"/>
        <v>0</v>
      </c>
      <c r="I46">
        <f ca="1" t="shared" si="8"/>
        <v>0</v>
      </c>
      <c r="J46" s="120" t="s">
        <v>103</v>
      </c>
      <c r="K46" s="162" t="str">
        <f ca="1" t="shared" si="39"/>
        <v>2.4.1.</v>
      </c>
      <c r="L46" s="209" t="s">
        <v>266</v>
      </c>
      <c r="M46" s="209" t="s">
        <v>251</v>
      </c>
      <c r="N46" s="230" t="str">
        <f ca="1">IF($A46="S",Referencia.Descricao,"(digite a descrição aqui)")</f>
        <v xml:space="preserve">Placa de sinalização retangular </v>
      </c>
      <c r="O46" s="229" t="str">
        <f ca="1">Referencia.Unidade</f>
        <v>UNIDADE</v>
      </c>
      <c r="P46" s="232">
        <f ca="1">OFFSET(PLQ!$E$12,ROW($P46)-ROW(P$12),0)</f>
        <v>1</v>
      </c>
      <c r="Q46" s="228">
        <v>258.65</v>
      </c>
      <c r="R46" s="231" t="s">
        <v>7</v>
      </c>
      <c r="S46" s="121">
        <f ca="1" t="shared" si="29"/>
        <v>310.61</v>
      </c>
      <c r="T46" s="98">
        <f ca="1" t="shared" si="30"/>
        <v>310.61</v>
      </c>
      <c r="U46" s="13" t="str">
        <f ca="1" t="shared" si="40"/>
        <v/>
      </c>
      <c r="V46" s="4" t="str">
        <f ca="1">IF(OR($A46=0,$A46="S",$A46&gt;CFF!$A$9),"",MAX(V$12:OFFSET(V46,-1,0))+1)</f>
        <v/>
      </c>
      <c r="W46" s="9" t="str">
        <f t="shared" si="41"/>
        <v>Composição -06</v>
      </c>
      <c r="X46" s="4">
        <f ca="1" t="shared" si="31"/>
        <v>12</v>
      </c>
      <c r="Y46" s="121">
        <f ca="1">IF(Import.Desoneracao="sim",Referencia.Desonerado,Referencia.NaoDesonerado)</f>
        <v>258.65</v>
      </c>
      <c r="Z46" s="132">
        <f ca="1">ROUND(IF(ISNUMBER(R46),R46,IF(LEFT(R46,3)="BDI",HLOOKUP(R46,DADOS!$T$37:$X$38,2,FALSE),0)),15-11*$X$5)</f>
        <v>0.2009</v>
      </c>
      <c r="AA46" s="4"/>
    </row>
    <row r="47" spans="1:27" ht="12.75">
      <c r="A47">
        <f t="shared" si="32"/>
        <v>1</v>
      </c>
      <c r="B47">
        <f ca="1" t="shared" si="33"/>
        <v>10</v>
      </c>
      <c r="C47">
        <f ca="1" t="shared" si="34"/>
        <v>3</v>
      </c>
      <c r="D47">
        <f ca="1" t="shared" si="35"/>
        <v>0</v>
      </c>
      <c r="E47">
        <f ca="1" t="shared" si="36"/>
        <v>0</v>
      </c>
      <c r="F47">
        <f ca="1" t="shared" si="37"/>
        <v>0</v>
      </c>
      <c r="G47">
        <f ca="1" t="shared" si="38"/>
        <v>0</v>
      </c>
      <c r="H47">
        <f ca="1" t="shared" si="7"/>
        <v>10</v>
      </c>
      <c r="I47" t="e">
        <f ca="1" t="shared" si="8"/>
        <v>#N/A</v>
      </c>
      <c r="J47" s="120" t="s">
        <v>99</v>
      </c>
      <c r="K47" s="162" t="str">
        <f ca="1" t="shared" si="39"/>
        <v>3.</v>
      </c>
      <c r="L47" s="209"/>
      <c r="M47" s="209"/>
      <c r="N47" s="230" t="s">
        <v>263</v>
      </c>
      <c r="O47" s="229" t="str">
        <f ca="1">Referencia.Unidade</f>
        <v/>
      </c>
      <c r="P47" s="232">
        <f ca="1">OFFSET(PLQ!$E$12,ROW($P47)-ROW(P$12),0)</f>
        <v>0</v>
      </c>
      <c r="Q47" s="228"/>
      <c r="R47" s="231" t="s">
        <v>7</v>
      </c>
      <c r="S47" s="121">
        <f t="shared" si="29"/>
        <v>0</v>
      </c>
      <c r="T47" s="98">
        <f ca="1" t="shared" si="30"/>
        <v>70747.61</v>
      </c>
      <c r="U47" s="13" t="str">
        <f ca="1" t="shared" si="40"/>
        <v/>
      </c>
      <c r="V47" s="4">
        <f ca="1">IF(OR($A47=0,$A47="S",$A47&gt;CFF!$A$9),"",MAX(V$12:OFFSET(V47,-1,0))+1)</f>
        <v>11</v>
      </c>
      <c r="W47" s="9" t="b">
        <f t="shared" si="41"/>
        <v>0</v>
      </c>
      <c r="X47" s="4" t="str">
        <f ca="1" t="shared" si="31"/>
        <v>X</v>
      </c>
      <c r="Y47" s="121">
        <f ca="1">IF(Import.Desoneracao="sim",Referencia.Desonerado,Referencia.NaoDesonerado)</f>
        <v>0</v>
      </c>
      <c r="Z47" s="132">
        <f ca="1">ROUND(IF(ISNUMBER(R47),R47,IF(LEFT(R47,3)="BDI",HLOOKUP(R47,DADOS!$T$37:$X$38,2,FALSE),0)),15-11*$X$5)</f>
        <v>0.2009</v>
      </c>
      <c r="AA47" s="4"/>
    </row>
    <row r="48" spans="1:27" ht="12.75">
      <c r="A48">
        <f t="shared" si="32"/>
        <v>2</v>
      </c>
      <c r="B48">
        <f ca="1" t="shared" si="33"/>
        <v>3</v>
      </c>
      <c r="C48">
        <f ca="1" t="shared" si="34"/>
        <v>3</v>
      </c>
      <c r="D48">
        <f ca="1" t="shared" si="35"/>
        <v>1</v>
      </c>
      <c r="E48">
        <f ca="1" t="shared" si="36"/>
        <v>0</v>
      </c>
      <c r="F48">
        <f ca="1" t="shared" si="37"/>
        <v>0</v>
      </c>
      <c r="G48">
        <f ca="1" t="shared" si="38"/>
        <v>0</v>
      </c>
      <c r="H48">
        <f ca="1" t="shared" si="7"/>
        <v>9</v>
      </c>
      <c r="I48">
        <f ca="1" t="shared" si="8"/>
        <v>3</v>
      </c>
      <c r="J48" s="120" t="s">
        <v>100</v>
      </c>
      <c r="K48" s="162" t="str">
        <f ca="1" t="shared" si="39"/>
        <v>3.1.</v>
      </c>
      <c r="L48" s="209"/>
      <c r="M48" s="209"/>
      <c r="N48" s="230" t="s">
        <v>229</v>
      </c>
      <c r="O48" s="229" t="str">
        <f ca="1">Referencia.Unidade</f>
        <v/>
      </c>
      <c r="P48" s="232">
        <f ca="1">OFFSET(PLQ!$E$12,ROW($P48)-ROW(P$12),0)</f>
        <v>0</v>
      </c>
      <c r="Q48" s="228"/>
      <c r="R48" s="231" t="s">
        <v>7</v>
      </c>
      <c r="S48" s="121">
        <f t="shared" si="29"/>
        <v>0</v>
      </c>
      <c r="T48" s="98">
        <f ca="1" t="shared" si="30"/>
        <v>629.09</v>
      </c>
      <c r="U48" s="13" t="str">
        <f ca="1" t="shared" si="40"/>
        <v/>
      </c>
      <c r="V48" s="4">
        <f ca="1">IF(OR($A48=0,$A48="S",$A48&gt;CFF!$A$9),"",MAX(V$12:OFFSET(V48,-1,0))+1)</f>
        <v>12</v>
      </c>
      <c r="W48" s="9" t="b">
        <f t="shared" si="41"/>
        <v>0</v>
      </c>
      <c r="X48" s="4" t="str">
        <f ca="1" t="shared" si="31"/>
        <v>X</v>
      </c>
      <c r="Y48" s="121">
        <f ca="1">IF(Import.Desoneracao="sim",Referencia.Desonerado,Referencia.NaoDesonerado)</f>
        <v>0</v>
      </c>
      <c r="Z48" s="132">
        <f ca="1">ROUND(IF(ISNUMBER(R48),R48,IF(LEFT(R48,3)="BDI",HLOOKUP(R48,DADOS!$T$37:$X$38,2,FALSE),0)),15-11*$X$5)</f>
        <v>0.2009</v>
      </c>
      <c r="AA48" s="4"/>
    </row>
    <row r="49" spans="1:27" ht="12.75">
      <c r="A49" t="str">
        <f t="shared" si="32"/>
        <v>S</v>
      </c>
      <c r="B49">
        <f t="shared" si="33"/>
        <v>0</v>
      </c>
      <c r="C49">
        <f ca="1" t="shared" si="34"/>
        <v>3</v>
      </c>
      <c r="D49">
        <f ca="1" t="shared" si="35"/>
        <v>1</v>
      </c>
      <c r="E49">
        <f ca="1" t="shared" si="36"/>
        <v>0</v>
      </c>
      <c r="F49">
        <f ca="1" t="shared" si="37"/>
        <v>0</v>
      </c>
      <c r="G49">
        <f ca="1" t="shared" si="38"/>
        <v>1</v>
      </c>
      <c r="H49">
        <f ca="1" t="shared" si="7"/>
        <v>0</v>
      </c>
      <c r="I49">
        <f ca="1" t="shared" si="8"/>
        <v>0</v>
      </c>
      <c r="J49" s="120" t="s">
        <v>103</v>
      </c>
      <c r="K49" s="162" t="str">
        <f ca="1" t="shared" si="39"/>
        <v>3.1.1.</v>
      </c>
      <c r="L49" s="209" t="s">
        <v>230</v>
      </c>
      <c r="M49" s="209" t="s">
        <v>240</v>
      </c>
      <c r="N49" s="230" t="str">
        <f ca="1">IF($A49="S",Referencia.Descricao,"(digite a descrição aqui)")</f>
        <v>REGULARIZAÇÃO DE SUPERFÍCIES COM MOTONIVELADORA. AF_11/2019</v>
      </c>
      <c r="O49" s="229" t="str">
        <f ca="1">Referencia.Unidade</f>
        <v>M2</v>
      </c>
      <c r="P49" s="232">
        <f ca="1">OFFSET(PLQ!$E$12,ROW($P49)-ROW(P$12),0)</f>
        <v>1045</v>
      </c>
      <c r="Q49" s="228">
        <v>0.11</v>
      </c>
      <c r="R49" s="231" t="s">
        <v>7</v>
      </c>
      <c r="S49" s="121">
        <f ca="1" t="shared" si="29"/>
        <v>0.13</v>
      </c>
      <c r="T49" s="98">
        <f ca="1" t="shared" si="30"/>
        <v>135.85</v>
      </c>
      <c r="U49" s="13" t="str">
        <f ca="1" t="shared" si="40"/>
        <v/>
      </c>
      <c r="V49" s="4" t="str">
        <f ca="1">IF(OR($A49=0,$A49="S",$A49&gt;CFF!$A$9),"",MAX(V$12:OFFSET(V49,-1,0))+1)</f>
        <v/>
      </c>
      <c r="W49" s="9" t="str">
        <f t="shared" si="41"/>
        <v>Sinapi-100575</v>
      </c>
      <c r="X49" s="4">
        <f ca="1" t="shared" si="31"/>
        <v>5908</v>
      </c>
      <c r="Y49" s="121">
        <f ca="1">IF(Import.Desoneracao="sim",Referencia.Desonerado,Referencia.NaoDesonerado)</f>
        <v>0.13</v>
      </c>
      <c r="Z49" s="132">
        <f ca="1">ROUND(IF(ISNUMBER(R49),R49,IF(LEFT(R49,3)="BDI",HLOOKUP(R49,DADOS!$T$37:$X$38,2,FALSE),0)),15-11*$X$5)</f>
        <v>0.2009</v>
      </c>
      <c r="AA49" s="4"/>
    </row>
    <row r="50" spans="1:27" ht="26.4">
      <c r="A50" t="str">
        <f>CHOOSE(1+LOG(1+2*(J50="Meta")+4*(J50="Nível 2")+8*(J50="Nível 3")+16*(J50="Nível 4")+32*(J50="Serviço"),2),0,1,2,3,4,"S")</f>
        <v>S</v>
      </c>
      <c r="B50">
        <f>IF(OR(A50="S",A50=0),0,IF(ISERROR(I50),H50,SMALL(H50:I50,1)))</f>
        <v>0</v>
      </c>
      <c r="C50">
        <f ca="1">IF($A50=1,OFFSET(C50,-1,0)+1,OFFSET(C50,-1,0))</f>
        <v>3</v>
      </c>
      <c r="D50">
        <f ca="1">IF($A50=1,0,IF($A50=2,OFFSET(D50,-1,0)+1,OFFSET(D50,-1,0)))</f>
        <v>1</v>
      </c>
      <c r="E50">
        <f ca="1">IF(AND($A50&lt;=2,$A50&lt;&gt;0),0,IF($A50=3,OFFSET(E50,-1,0)+1,OFFSET(E50,-1,0)))</f>
        <v>0</v>
      </c>
      <c r="F50">
        <f ca="1">IF(AND($A50&lt;=3,$A50&lt;&gt;0),0,IF($A50=4,OFFSET(F50,-1,0)+1,OFFSET(F50,-1,0)))</f>
        <v>0</v>
      </c>
      <c r="G50">
        <f ca="1">IF(AND($A50&lt;=4,$A50&lt;&gt;0),0,IF($A50="S",OFFSET(G50,-1,0)+1,OFFSET(G50,-1,0)))</f>
        <v>2</v>
      </c>
      <c r="H50">
        <f ca="1" t="shared" si="7"/>
        <v>0</v>
      </c>
      <c r="I50">
        <f ca="1" t="shared" si="8"/>
        <v>0</v>
      </c>
      <c r="J50" s="120" t="s">
        <v>103</v>
      </c>
      <c r="K50" s="162" t="str">
        <f ca="1">IF($A50=0,"-",CONCATENATE(C50&amp;".",IF(AND($A$5&gt;=2,$A50&gt;=2),D50&amp;".",""),IF(AND($A$5&gt;=3,$A50&gt;=3),E50&amp;".",""),IF(AND($A$5&gt;=4,$A50&gt;=4),F50&amp;".",""),IF($A50="S",G50&amp;".","")))</f>
        <v>3.1.2.</v>
      </c>
      <c r="L50" s="209" t="s">
        <v>230</v>
      </c>
      <c r="M50" s="209" t="s">
        <v>264</v>
      </c>
      <c r="N50" s="230" t="str">
        <f ca="1">IF($A50="S",Referencia.Descricao,"(digite a descrição aqui)")</f>
        <v>DESMONTE DE MATERIAL DE 3ª CATEGORIA (BLOCOS DE ROCHAS OU MATACOS), COM MARTELETE PNEUMÁTICO MANUAL  EXCLUSIVE CARGA E TRANSPORTE. AF_03/2021</v>
      </c>
      <c r="O50" s="229" t="str">
        <f ca="1">Referencia.Unidade</f>
        <v>M3</v>
      </c>
      <c r="P50" s="232">
        <f ca="1">OFFSET(PLQ!$E$12,ROW($P50)-ROW(P$12),0)</f>
        <v>3.6</v>
      </c>
      <c r="Q50" s="228">
        <v>114.09</v>
      </c>
      <c r="R50" s="231" t="s">
        <v>7</v>
      </c>
      <c r="S50" s="121">
        <f ca="1">IF($A50="S",IF($Q$10="Preço Unitário (R$)",PO.CustoUnitario,ROUND(PO.CustoUnitario*(1+$Z50),15-13*$X$6)),0)</f>
        <v>137.01</v>
      </c>
      <c r="T50" s="98">
        <f ca="1">IF($A50="S",VTOTAL1,IF($A50=0,0,ROUND(SomaAgrup,15-13*$X$7)))</f>
        <v>493.24</v>
      </c>
      <c r="U50" s="13" t="str">
        <f ca="1">IF($J50="","",IF($N50="","DESCRIÇÃO",IF(AND($J50="Serviço",$O50=""),"UNIDADE",IF($T50&lt;=0,"SEM VALOR",IF(AND($Y50&lt;&gt;"",$Q50&gt;$Y50),"ACIMA REF.","")))))</f>
        <v/>
      </c>
      <c r="V50" s="4" t="str">
        <f ca="1">IF(OR($A50=0,$A50="S",$A50&gt;CFF!$A$9),"",MAX(V$12:OFFSET(V50,-1,0))+1)</f>
        <v/>
      </c>
      <c r="W50" s="9" t="str">
        <f>IF(AND($J50="Serviço",$M50&lt;&gt;""),IF($L50="",$M50,CONCATENATE($L50,"-",$M50)))</f>
        <v>Sinapi-102354</v>
      </c>
      <c r="X50" s="4">
        <f ca="1">IF(AND(Fonte&lt;&gt;"",Código&lt;&gt;""),MATCH(Fonte&amp;" "&amp;IF(Fonte="sinapi",SUBSTITUTE(SUBSTITUTE(Código,"/00","/"),"/0","/"),Código),INDIRECT("'[Referência "&amp;_XLNM.DATABASE&amp;".xls]Banco'!$a:$a"),0),"X")</f>
        <v>5606</v>
      </c>
      <c r="Y50" s="121">
        <f ca="1">IF(Import.Desoneracao="sim",Referencia.Desonerado,Referencia.NaoDesonerado)</f>
        <v>164.09</v>
      </c>
      <c r="Z50" s="132">
        <f ca="1">ROUND(IF(ISNUMBER(R50),R50,IF(LEFT(R50,3)="BDI",HLOOKUP(R50,DADOS!$T$37:$X$38,2,FALSE),0)),15-11*$X$5)</f>
        <v>0.2009</v>
      </c>
      <c r="AA50" s="4"/>
    </row>
    <row r="51" spans="1:27" ht="12.75">
      <c r="A51">
        <f t="shared" si="32"/>
        <v>2</v>
      </c>
      <c r="B51">
        <f ca="1" t="shared" si="33"/>
        <v>4</v>
      </c>
      <c r="C51">
        <f ca="1" t="shared" si="34"/>
        <v>3</v>
      </c>
      <c r="D51">
        <f ca="1" t="shared" si="35"/>
        <v>2</v>
      </c>
      <c r="E51">
        <f ca="1" t="shared" si="36"/>
        <v>0</v>
      </c>
      <c r="F51">
        <f ca="1" t="shared" si="37"/>
        <v>0</v>
      </c>
      <c r="G51">
        <f ca="1" t="shared" si="38"/>
        <v>0</v>
      </c>
      <c r="H51">
        <f ca="1" t="shared" si="7"/>
        <v>6</v>
      </c>
      <c r="I51">
        <f ca="1" t="shared" si="8"/>
        <v>4</v>
      </c>
      <c r="J51" s="120" t="s">
        <v>100</v>
      </c>
      <c r="K51" s="162" t="str">
        <f ca="1" t="shared" si="39"/>
        <v>3.2.</v>
      </c>
      <c r="L51" s="209"/>
      <c r="M51" s="209"/>
      <c r="N51" s="230" t="s">
        <v>233</v>
      </c>
      <c r="O51" s="229" t="str">
        <f ca="1">Referencia.Unidade</f>
        <v/>
      </c>
      <c r="P51" s="232">
        <f ca="1">OFFSET(PLQ!$E$12,ROW($P51)-ROW(P$12),0)</f>
        <v>0</v>
      </c>
      <c r="Q51" s="228"/>
      <c r="R51" s="231" t="s">
        <v>7</v>
      </c>
      <c r="S51" s="121">
        <f t="shared" si="29"/>
        <v>0</v>
      </c>
      <c r="T51" s="98">
        <f ca="1" t="shared" si="30"/>
        <v>69807.91</v>
      </c>
      <c r="U51" s="13" t="str">
        <f ca="1" t="shared" si="40"/>
        <v/>
      </c>
      <c r="V51" s="4">
        <f ca="1">IF(OR($A51=0,$A51="S",$A51&gt;CFF!$A$9),"",MAX(V$12:OFFSET(V51,-1,0))+1)</f>
        <v>13</v>
      </c>
      <c r="W51" s="9" t="b">
        <f t="shared" si="41"/>
        <v>0</v>
      </c>
      <c r="X51" s="4" t="str">
        <f ca="1" t="shared" si="31"/>
        <v>X</v>
      </c>
      <c r="Y51" s="121">
        <f ca="1">IF(Import.Desoneracao="sim",Referencia.Desonerado,Referencia.NaoDesonerado)</f>
        <v>0</v>
      </c>
      <c r="Z51" s="132">
        <f ca="1">ROUND(IF(ISNUMBER(R51),R51,IF(LEFT(R51,3)="BDI",HLOOKUP(R51,DADOS!$T$37:$X$38,2,FALSE),0)),15-11*$X$5)</f>
        <v>0.2009</v>
      </c>
      <c r="AA51" s="4"/>
    </row>
    <row r="52" spans="1:27" ht="26.4">
      <c r="A52" t="str">
        <f t="shared" si="32"/>
        <v>S</v>
      </c>
      <c r="B52">
        <f t="shared" si="33"/>
        <v>0</v>
      </c>
      <c r="C52">
        <f ca="1" t="shared" si="34"/>
        <v>3</v>
      </c>
      <c r="D52">
        <f ca="1" t="shared" si="35"/>
        <v>2</v>
      </c>
      <c r="E52">
        <f ca="1" t="shared" si="36"/>
        <v>0</v>
      </c>
      <c r="F52">
        <f ca="1" t="shared" si="37"/>
        <v>0</v>
      </c>
      <c r="G52">
        <f ca="1" t="shared" si="38"/>
        <v>1</v>
      </c>
      <c r="H52">
        <f ca="1" t="shared" si="7"/>
        <v>0</v>
      </c>
      <c r="I52">
        <f ca="1" t="shared" si="8"/>
        <v>0</v>
      </c>
      <c r="J52" s="120" t="s">
        <v>103</v>
      </c>
      <c r="K52" s="162" t="str">
        <f ca="1" t="shared" si="39"/>
        <v>3.2.1.</v>
      </c>
      <c r="L52" s="209" t="s">
        <v>266</v>
      </c>
      <c r="M52" s="209" t="s">
        <v>243</v>
      </c>
      <c r="N52" s="230" t="str">
        <f ca="1">IF($A52="S",Referencia.Descricao,"(digite a descrição aqui)")</f>
        <v>Execução de via em piso intertravado, com bloco retangular cor natural de 20 x 10 cm, espessura 8 cm.</v>
      </c>
      <c r="O52" s="229" t="str">
        <f ca="1">Referencia.Unidade</f>
        <v>m²</v>
      </c>
      <c r="P52" s="232">
        <f ca="1">OFFSET(PLQ!$E$12,ROW($P52)-ROW(P$12),0)</f>
        <v>1016.5</v>
      </c>
      <c r="Q52" s="228">
        <v>52.17</v>
      </c>
      <c r="R52" s="231" t="s">
        <v>7</v>
      </c>
      <c r="S52" s="121">
        <f ca="1" t="shared" si="29"/>
        <v>62.65</v>
      </c>
      <c r="T52" s="98">
        <f ca="1" t="shared" si="30"/>
        <v>63683.73</v>
      </c>
      <c r="U52" s="13" t="str">
        <f ca="1" t="shared" si="40"/>
        <v/>
      </c>
      <c r="V52" s="4" t="str">
        <f ca="1">IF(OR($A52=0,$A52="S",$A52&gt;CFF!$A$9),"",MAX(V$12:OFFSET(V52,-1,0))+1)</f>
        <v/>
      </c>
      <c r="W52" s="9" t="str">
        <f t="shared" si="41"/>
        <v>Composição -03</v>
      </c>
      <c r="X52" s="4">
        <f ca="1" t="shared" si="31"/>
        <v>9</v>
      </c>
      <c r="Y52" s="121">
        <f ca="1">IF(Import.Desoneracao="sim",Referencia.Desonerado,Referencia.NaoDesonerado)</f>
        <v>52.169999999999995</v>
      </c>
      <c r="Z52" s="132">
        <f ca="1">ROUND(IF(ISNUMBER(R52),R52,IF(LEFT(R52,3)="BDI",HLOOKUP(R52,DADOS!$T$37:$X$38,2,FALSE),0)),15-11*$X$5)</f>
        <v>0.2009</v>
      </c>
      <c r="AA52" s="4"/>
    </row>
    <row r="53" spans="1:27" ht="52.8">
      <c r="A53" t="str">
        <f t="shared" si="32"/>
        <v>S</v>
      </c>
      <c r="B53">
        <f t="shared" si="33"/>
        <v>0</v>
      </c>
      <c r="C53">
        <f ca="1" t="shared" si="34"/>
        <v>3</v>
      </c>
      <c r="D53">
        <f ca="1" t="shared" si="35"/>
        <v>2</v>
      </c>
      <c r="E53">
        <f ca="1" t="shared" si="36"/>
        <v>0</v>
      </c>
      <c r="F53">
        <f ca="1" t="shared" si="37"/>
        <v>0</v>
      </c>
      <c r="G53">
        <f ca="1" t="shared" si="38"/>
        <v>2</v>
      </c>
      <c r="H53">
        <f ca="1" t="shared" si="7"/>
        <v>0</v>
      </c>
      <c r="I53">
        <f ca="1" t="shared" si="8"/>
        <v>0</v>
      </c>
      <c r="J53" s="120" t="s">
        <v>103</v>
      </c>
      <c r="K53" s="162" t="str">
        <f ca="1" t="shared" si="39"/>
        <v>3.2.2.</v>
      </c>
      <c r="L53" s="209" t="s">
        <v>230</v>
      </c>
      <c r="M53" s="209" t="s">
        <v>234</v>
      </c>
      <c r="N53" s="230" t="str">
        <f ca="1">IF($A53="S",Referencia.Descricao,"(digite a descrição aqui)")</f>
        <v>ASSENTAMENTO DE GUIA (MEIO-FIO) EM TRECHO RETO, CONFECCIONADA EM CONCRETO PRÉ-FABRICADO, DIMENSÕES 100X15X13X30 CM (COMPRIMENTO X BASE INFERIOR X BASE SUPERIOR X ALTURA), PARA VIAS URBANAS (USO VIÁRIO). AF_06/2016</v>
      </c>
      <c r="O53" s="229" t="str">
        <f ca="1">Referencia.Unidade</f>
        <v>M</v>
      </c>
      <c r="P53" s="232">
        <f ca="1">OFFSET(PLQ!$E$12,ROW($P53)-ROW(P$12),0)</f>
        <v>190</v>
      </c>
      <c r="Q53" s="228">
        <v>25</v>
      </c>
      <c r="R53" s="231" t="s">
        <v>7</v>
      </c>
      <c r="S53" s="121">
        <f ca="1" t="shared" si="29"/>
        <v>30.02</v>
      </c>
      <c r="T53" s="98">
        <f ca="1" t="shared" si="30"/>
        <v>5703.8</v>
      </c>
      <c r="U53" s="13" t="str">
        <f ca="1" t="shared" si="40"/>
        <v/>
      </c>
      <c r="V53" s="4" t="str">
        <f ca="1">IF(OR($A53=0,$A53="S",$A53&gt;CFF!$A$9),"",MAX(V$12:OFFSET(V53,-1,0))+1)</f>
        <v/>
      </c>
      <c r="W53" s="9" t="str">
        <f t="shared" si="41"/>
        <v>Sinapi-94273</v>
      </c>
      <c r="X53" s="4">
        <f ca="1" t="shared" si="31"/>
        <v>1813</v>
      </c>
      <c r="Y53" s="121">
        <f ca="1">IF(Import.Desoneracao="sim",Referencia.Desonerado,Referencia.NaoDesonerado)</f>
        <v>54.7</v>
      </c>
      <c r="Z53" s="132">
        <f ca="1">ROUND(IF(ISNUMBER(R53),R53,IF(LEFT(R53,3)="BDI",HLOOKUP(R53,DADOS!$T$37:$X$38,2,FALSE),0)),15-11*$X$5)</f>
        <v>0.2009</v>
      </c>
      <c r="AA53" s="4"/>
    </row>
    <row r="54" spans="1:27" ht="12.75">
      <c r="A54" t="str">
        <f>CHOOSE(1+LOG(1+2*(J54="Meta")+4*(J54="Nível 2")+8*(J54="Nível 3")+16*(J54="Nível 4")+32*(J54="Serviço"),2),0,1,2,3,4,"S")</f>
        <v>S</v>
      </c>
      <c r="B54">
        <f>IF(OR(A54="S",A54=0),0,IF(ISERROR(I54),H54,SMALL(H54:I54,1)))</f>
        <v>0</v>
      </c>
      <c r="C54">
        <f ca="1">IF($A54=1,OFFSET(C54,-1,0)+1,OFFSET(C54,-1,0))</f>
        <v>3</v>
      </c>
      <c r="D54">
        <f ca="1">IF($A54=1,0,IF($A54=2,OFFSET(D54,-1,0)+1,OFFSET(D54,-1,0)))</f>
        <v>2</v>
      </c>
      <c r="E54">
        <f ca="1">IF(AND($A54&lt;=2,$A54&lt;&gt;0),0,IF($A54=3,OFFSET(E54,-1,0)+1,OFFSET(E54,-1,0)))</f>
        <v>0</v>
      </c>
      <c r="F54">
        <f ca="1">IF(AND($A54&lt;=3,$A54&lt;&gt;0),0,IF($A54=4,OFFSET(F54,-1,0)+1,OFFSET(F54,-1,0)))</f>
        <v>0</v>
      </c>
      <c r="G54">
        <f ca="1">IF(AND($A54&lt;=4,$A54&lt;&gt;0),0,IF($A54="S",OFFSET(G54,-1,0)+1,OFFSET(G54,-1,0)))</f>
        <v>3</v>
      </c>
      <c r="H54">
        <f ca="1" t="shared" si="7"/>
        <v>0</v>
      </c>
      <c r="I54">
        <f ca="1" t="shared" si="8"/>
        <v>0</v>
      </c>
      <c r="J54" s="120" t="s">
        <v>103</v>
      </c>
      <c r="K54" s="162" t="str">
        <f ca="1">IF($A54=0,"-",CONCATENATE(C54&amp;".",IF(AND($A$5&gt;=2,$A54&gt;=2),D54&amp;".",""),IF(AND($A$5&gt;=3,$A54&gt;=3),E54&amp;".",""),IF(AND($A$5&gt;=4,$A54&gt;=4),F54&amp;".",""),IF($A54="S",G54&amp;".","")))</f>
        <v>3.2.3.</v>
      </c>
      <c r="L54" s="209" t="s">
        <v>230</v>
      </c>
      <c r="M54" s="209" t="s">
        <v>267</v>
      </c>
      <c r="N54" s="230" t="str">
        <f ca="1">IF($A54="S",Referencia.Descricao,"(digite a descrição aqui)")</f>
        <v>REATERRO MANUAL DE VALAS COM COMPACTAÇÃO MECANIZADA. AF_04/2016</v>
      </c>
      <c r="O54" s="229" t="str">
        <f ca="1">Referencia.Unidade</f>
        <v>M3</v>
      </c>
      <c r="P54" s="232">
        <f ca="1">OFFSET(PLQ!$E$12,ROW($P54)-ROW(P$12),0)</f>
        <v>28.5</v>
      </c>
      <c r="Q54" s="228">
        <v>12.28</v>
      </c>
      <c r="R54" s="231" t="s">
        <v>7</v>
      </c>
      <c r="S54" s="121">
        <f ca="1">IF($A54="S",IF($Q$10="Preço Unitário (R$)",PO.CustoUnitario,ROUND(PO.CustoUnitario*(1+$Z54),15-13*$X$6)),0)</f>
        <v>14.75</v>
      </c>
      <c r="T54" s="98">
        <f ca="1">IF($A54="S",VTOTAL1,IF($A54=0,0,ROUND(SomaAgrup,15-13*$X$7)))</f>
        <v>420.38</v>
      </c>
      <c r="U54" s="13" t="str">
        <f ca="1">IF($J54="","",IF($N54="","DESCRIÇÃO",IF(AND($J54="Serviço",$O54=""),"UNIDADE",IF($T54&lt;=0,"SEM VALOR",IF(AND($Y54&lt;&gt;"",$Q54&gt;$Y54),"ACIMA REF.","")))))</f>
        <v/>
      </c>
      <c r="V54" s="4" t="str">
        <f ca="1">IF(OR($A54=0,$A54="S",$A54&gt;CFF!$A$9),"",MAX(V$12:OFFSET(V54,-1,0))+1)</f>
        <v/>
      </c>
      <c r="W54" s="9" t="str">
        <f>IF(AND($J54="Serviço",$M54&lt;&gt;""),IF($L54="",$M54,CONCATENATE($L54,"-",$M54)))</f>
        <v>Sinapi-93382</v>
      </c>
      <c r="X54" s="4">
        <f ca="1">IF(AND(Fonte&lt;&gt;"",Código&lt;&gt;""),MATCH(Fonte&amp;" "&amp;IF(Fonte="sinapi",SUBSTITUTE(SUBSTITUTE(Código,"/00","/"),"/0","/"),Código),INDIRECT("'[Referência "&amp;_XLNM.DATABASE&amp;".xls]Banco'!$a:$a"),0),"X")</f>
        <v>5731</v>
      </c>
      <c r="Y54" s="121">
        <f ca="1">IF(Import.Desoneracao="sim",Referencia.Desonerado,Referencia.NaoDesonerado)</f>
        <v>34.28</v>
      </c>
      <c r="Z54" s="132">
        <f ca="1">ROUND(IF(ISNUMBER(R54),R54,IF(LEFT(R54,3)="BDI",HLOOKUP(R54,DADOS!$T$37:$X$38,2,FALSE),0)),15-11*$X$5)</f>
        <v>0.2009</v>
      </c>
      <c r="AA54" s="4"/>
    </row>
    <row r="55" spans="1:27" ht="12.75">
      <c r="A55">
        <f t="shared" si="32"/>
        <v>2</v>
      </c>
      <c r="B55">
        <f ca="1" t="shared" si="33"/>
        <v>2</v>
      </c>
      <c r="C55">
        <f ca="1" t="shared" si="34"/>
        <v>3</v>
      </c>
      <c r="D55">
        <f ca="1" t="shared" si="35"/>
        <v>3</v>
      </c>
      <c r="E55">
        <f ca="1" t="shared" si="36"/>
        <v>0</v>
      </c>
      <c r="F55">
        <f ca="1" t="shared" si="37"/>
        <v>0</v>
      </c>
      <c r="G55">
        <f ca="1" t="shared" si="38"/>
        <v>0</v>
      </c>
      <c r="H55">
        <f ca="1" t="shared" si="7"/>
        <v>2</v>
      </c>
      <c r="I55" t="e">
        <f ca="1" t="shared" si="8"/>
        <v>#N/A</v>
      </c>
      <c r="J55" s="120" t="s">
        <v>100</v>
      </c>
      <c r="K55" s="162" t="str">
        <f ca="1" t="shared" si="39"/>
        <v>3.3.</v>
      </c>
      <c r="L55" s="209"/>
      <c r="M55" s="209"/>
      <c r="N55" s="230" t="s">
        <v>252</v>
      </c>
      <c r="O55" s="229" t="str">
        <f ca="1">Referencia.Unidade</f>
        <v/>
      </c>
      <c r="P55" s="232">
        <f ca="1">OFFSET(PLQ!$E$12,ROW($P55)-ROW(P$12),0)</f>
        <v>0</v>
      </c>
      <c r="Q55" s="228"/>
      <c r="R55" s="231" t="s">
        <v>7</v>
      </c>
      <c r="S55" s="121">
        <f t="shared" si="29"/>
        <v>0</v>
      </c>
      <c r="T55" s="98">
        <f ca="1" t="shared" si="30"/>
        <v>310.61</v>
      </c>
      <c r="U55" s="13" t="str">
        <f ca="1" t="shared" si="40"/>
        <v/>
      </c>
      <c r="V55" s="4">
        <f ca="1">IF(OR($A55=0,$A55="S",$A55&gt;CFF!$A$9),"",MAX(V$12:OFFSET(V55,-1,0))+1)</f>
        <v>14</v>
      </c>
      <c r="W55" s="9" t="b">
        <f t="shared" si="41"/>
        <v>0</v>
      </c>
      <c r="X55" s="4" t="str">
        <f ca="1" t="shared" si="31"/>
        <v>X</v>
      </c>
      <c r="Y55" s="121">
        <f ca="1">IF(Import.Desoneracao="sim",Referencia.Desonerado,Referencia.NaoDesonerado)</f>
        <v>0</v>
      </c>
      <c r="Z55" s="132">
        <f ca="1">ROUND(IF(ISNUMBER(R55),R55,IF(LEFT(R55,3)="BDI",HLOOKUP(R55,DADOS!$T$37:$X$38,2,FALSE),0)),15-11*$X$5)</f>
        <v>0.2009</v>
      </c>
      <c r="AA55" s="4"/>
    </row>
    <row r="56" spans="1:27" ht="12.75">
      <c r="A56" t="str">
        <f t="shared" si="32"/>
        <v>S</v>
      </c>
      <c r="B56">
        <f t="shared" si="33"/>
        <v>0</v>
      </c>
      <c r="C56">
        <f ca="1" t="shared" si="34"/>
        <v>3</v>
      </c>
      <c r="D56">
        <f ca="1" t="shared" si="35"/>
        <v>3</v>
      </c>
      <c r="E56">
        <f ca="1" t="shared" si="36"/>
        <v>0</v>
      </c>
      <c r="F56">
        <f ca="1" t="shared" si="37"/>
        <v>0</v>
      </c>
      <c r="G56">
        <f ca="1" t="shared" si="38"/>
        <v>1</v>
      </c>
      <c r="H56">
        <f ca="1" t="shared" si="7"/>
        <v>0</v>
      </c>
      <c r="I56">
        <f ca="1" t="shared" si="8"/>
        <v>0</v>
      </c>
      <c r="J56" s="120" t="s">
        <v>103</v>
      </c>
      <c r="K56" s="162" t="str">
        <f ca="1" t="shared" si="39"/>
        <v>3.3.1.</v>
      </c>
      <c r="L56" s="209" t="s">
        <v>266</v>
      </c>
      <c r="M56" s="209" t="s">
        <v>251</v>
      </c>
      <c r="N56" s="230" t="str">
        <f ca="1">IF($A56="S",Referencia.Descricao,"(digite a descrição aqui)")</f>
        <v xml:space="preserve">Placa de sinalização retangular </v>
      </c>
      <c r="O56" s="229" t="str">
        <f ca="1">Referencia.Unidade</f>
        <v>UNIDADE</v>
      </c>
      <c r="P56" s="232">
        <f ca="1">OFFSET(PLQ!$E$12,ROW($P56)-ROW(P$12),0)</f>
        <v>1</v>
      </c>
      <c r="Q56" s="228">
        <v>258.65</v>
      </c>
      <c r="R56" s="231" t="s">
        <v>7</v>
      </c>
      <c r="S56" s="121">
        <f ca="1" t="shared" si="29"/>
        <v>310.61</v>
      </c>
      <c r="T56" s="98">
        <f ca="1" t="shared" si="30"/>
        <v>310.61</v>
      </c>
      <c r="U56" s="13" t="str">
        <f ca="1" t="shared" si="40"/>
        <v/>
      </c>
      <c r="V56" s="4" t="str">
        <f ca="1">IF(OR($A56=0,$A56="S",$A56&gt;CFF!$A$9),"",MAX(V$12:OFFSET(V56,-1,0))+1)</f>
        <v/>
      </c>
      <c r="W56" s="9" t="str">
        <f t="shared" si="41"/>
        <v>Composição -06</v>
      </c>
      <c r="X56" s="4">
        <f ca="1" t="shared" si="31"/>
        <v>12</v>
      </c>
      <c r="Y56" s="121">
        <f ca="1">IF(Import.Desoneracao="sim",Referencia.Desonerado,Referencia.NaoDesonerado)</f>
        <v>258.65</v>
      </c>
      <c r="Z56" s="132">
        <f ca="1">ROUND(IF(ISNUMBER(R56),R56,IF(LEFT(R56,3)="BDI",HLOOKUP(R56,DADOS!$T$37:$X$38,2,FALSE),0)),15-11*$X$5)</f>
        <v>0.2009</v>
      </c>
      <c r="AA56" s="4"/>
    </row>
    <row r="57" spans="1:27" ht="12.75">
      <c r="A57">
        <v>-1</v>
      </c>
      <c r="C57">
        <v>0</v>
      </c>
      <c r="D57">
        <v>0</v>
      </c>
      <c r="E57">
        <v>0</v>
      </c>
      <c r="F57">
        <v>0</v>
      </c>
      <c r="G57">
        <v>0</v>
      </c>
      <c r="J57" s="83"/>
      <c r="K57" s="83"/>
      <c r="L57" s="83"/>
      <c r="M57" s="83"/>
      <c r="N57" s="83"/>
      <c r="O57" s="83"/>
      <c r="P57" s="83"/>
      <c r="Q57" s="83"/>
      <c r="R57" s="83"/>
      <c r="S57" s="83"/>
      <c r="T57" s="83"/>
      <c r="U57" s="4"/>
      <c r="V57" s="4"/>
      <c r="W57" s="4"/>
      <c r="X57" s="4"/>
      <c r="Y57" s="4"/>
      <c r="Z57" s="4"/>
      <c r="AA57" s="4"/>
    </row>
    <row r="58" spans="1:27" ht="13.8">
      <c r="A58" s="4"/>
      <c r="B58" s="4"/>
      <c r="C58" s="4"/>
      <c r="D58" s="4"/>
      <c r="E58" s="4"/>
      <c r="F58" s="4"/>
      <c r="G58" s="4"/>
      <c r="H58" s="4"/>
      <c r="I58" s="4"/>
      <c r="J58" s="4"/>
      <c r="K58" s="84" t="s">
        <v>62</v>
      </c>
      <c r="L58" s="4"/>
      <c r="M58" s="364"/>
      <c r="N58" s="365"/>
      <c r="O58" s="365"/>
      <c r="P58" s="365"/>
      <c r="Q58" s="365"/>
      <c r="R58" s="365"/>
      <c r="S58" s="365"/>
      <c r="T58" s="366"/>
      <c r="U58" s="4"/>
      <c r="V58" s="4"/>
      <c r="W58" s="4"/>
      <c r="X58" s="4"/>
      <c r="Y58" s="4"/>
      <c r="Z58" s="4"/>
      <c r="AA58" s="4"/>
    </row>
    <row r="59" spans="1:27" ht="12.75">
      <c r="A59" s="4"/>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3.8">
      <c r="A60" s="4"/>
      <c r="B60" s="4"/>
      <c r="C60" s="4"/>
      <c r="D60" s="4"/>
      <c r="E60" s="4"/>
      <c r="F60" s="4"/>
      <c r="G60" s="4"/>
      <c r="H60" s="4"/>
      <c r="I60" s="4"/>
      <c r="J60" s="4"/>
      <c r="K60" s="90" t="s">
        <v>21</v>
      </c>
      <c r="L60" s="20"/>
      <c r="M60" s="20"/>
      <c r="N60" s="20"/>
      <c r="O60" s="20"/>
      <c r="P60" s="20"/>
      <c r="Q60" s="20"/>
      <c r="R60" s="20"/>
      <c r="S60" s="20"/>
      <c r="T60" s="89"/>
      <c r="U60" s="4"/>
      <c r="V60" s="4"/>
      <c r="W60" s="4"/>
      <c r="X60" s="4"/>
      <c r="Y60" s="4"/>
      <c r="Z60" s="4"/>
      <c r="AA60" s="4"/>
    </row>
    <row r="61" spans="1:27" ht="12.75" customHeight="1">
      <c r="A61" s="4"/>
      <c r="B61" s="4"/>
      <c r="C61" s="4"/>
      <c r="D61" s="4"/>
      <c r="E61" s="4"/>
      <c r="F61" s="4"/>
      <c r="G61" s="4"/>
      <c r="H61" s="4"/>
      <c r="I61" s="4"/>
      <c r="J61" s="4"/>
      <c r="K61" s="358"/>
      <c r="L61" s="359"/>
      <c r="M61" s="359"/>
      <c r="N61" s="359"/>
      <c r="O61" s="359"/>
      <c r="P61" s="359"/>
      <c r="Q61" s="359"/>
      <c r="R61" s="359"/>
      <c r="S61" s="359"/>
      <c r="T61" s="360"/>
      <c r="U61" s="4"/>
      <c r="V61" s="4"/>
      <c r="W61" s="4"/>
      <c r="X61" s="4"/>
      <c r="Y61" s="4"/>
      <c r="Z61" s="4"/>
      <c r="AA61" s="4"/>
    </row>
    <row r="62" spans="1:27" ht="12.75">
      <c r="A62" s="4"/>
      <c r="B62" s="4"/>
      <c r="C62" s="4"/>
      <c r="D62" s="4"/>
      <c r="E62" s="4"/>
      <c r="F62" s="4"/>
      <c r="G62" s="4"/>
      <c r="H62" s="4"/>
      <c r="I62" s="4"/>
      <c r="J62" s="4"/>
      <c r="K62" s="358"/>
      <c r="L62" s="359"/>
      <c r="M62" s="359"/>
      <c r="N62" s="359"/>
      <c r="O62" s="359"/>
      <c r="P62" s="359"/>
      <c r="Q62" s="359"/>
      <c r="R62" s="359"/>
      <c r="S62" s="359"/>
      <c r="T62" s="360"/>
      <c r="U62" s="4"/>
      <c r="V62" s="4"/>
      <c r="W62" s="4"/>
      <c r="X62" s="4"/>
      <c r="Y62" s="4"/>
      <c r="Z62" s="4"/>
      <c r="AA62" s="4"/>
    </row>
    <row r="63" spans="1:27" ht="12.75">
      <c r="A63" s="4"/>
      <c r="B63" s="4"/>
      <c r="C63" s="4"/>
      <c r="D63" s="4"/>
      <c r="E63" s="4"/>
      <c r="F63" s="4"/>
      <c r="G63" s="4"/>
      <c r="H63" s="4"/>
      <c r="I63" s="4"/>
      <c r="J63" s="4"/>
      <c r="K63" s="361"/>
      <c r="L63" s="362"/>
      <c r="M63" s="362"/>
      <c r="N63" s="362"/>
      <c r="O63" s="362"/>
      <c r="P63" s="362"/>
      <c r="Q63" s="362"/>
      <c r="R63" s="362"/>
      <c r="S63" s="362"/>
      <c r="T63" s="363"/>
      <c r="U63" s="4"/>
      <c r="V63" s="4"/>
      <c r="W63" s="4"/>
      <c r="X63" s="4"/>
      <c r="Y63" s="4"/>
      <c r="Z63" s="4"/>
      <c r="AA63" s="4"/>
    </row>
    <row r="64" spans="1:27" ht="13.8">
      <c r="A64" s="4"/>
      <c r="B64" s="4"/>
      <c r="C64" s="4"/>
      <c r="D64" s="4"/>
      <c r="E64" s="4"/>
      <c r="F64" s="4"/>
      <c r="G64" s="4"/>
      <c r="H64" s="4"/>
      <c r="I64" s="4"/>
      <c r="J64" s="4"/>
      <c r="K64" s="213"/>
      <c r="L64" s="213"/>
      <c r="M64" s="213"/>
      <c r="N64" s="213"/>
      <c r="O64" s="213"/>
      <c r="P64" s="213"/>
      <c r="Q64" s="213"/>
      <c r="R64" s="213"/>
      <c r="S64" s="213"/>
      <c r="T64" s="213"/>
      <c r="U64" s="4"/>
      <c r="V64" s="4"/>
      <c r="W64" s="4"/>
      <c r="X64" s="4"/>
      <c r="Y64" s="4"/>
      <c r="Z64" s="4"/>
      <c r="AA64" s="4"/>
    </row>
    <row r="65" spans="1:27" ht="13.8">
      <c r="A65" s="4"/>
      <c r="B65" s="4"/>
      <c r="C65" s="4"/>
      <c r="D65" s="4"/>
      <c r="E65" s="4"/>
      <c r="F65" s="4"/>
      <c r="G65" s="4"/>
      <c r="H65" s="4"/>
      <c r="I65" s="4"/>
      <c r="J65" s="4"/>
      <c r="K65" s="355" t="str">
        <f>IF(AND($X$3=FALSE,$X$4=FALSE,$X$5=FALSE,$X$6=FALSE,$X$7=FALSE),"Não foi considerado arredondamento nos valores da planilha.",CONCATENATE("Foi considerado arredondamento de duas casas decimais para ",IF($X$3=TRUE,"Quantidade; ",""),IF($X$4=TRUE,"Custo Unitário; ",""),IF($X$5=TRUE,"BDI; ",""),IF($X$6=TRUE,"Preço Unitário; ",""),IF($X$7=TRUE,"Preço Total.","")))</f>
        <v>Foi considerado arredondamento de duas casas decimais para Quantidade; Custo Unitário; BDI; Preço Unitário; Preço Total.</v>
      </c>
      <c r="L65" s="356"/>
      <c r="M65" s="356"/>
      <c r="N65" s="356"/>
      <c r="O65" s="356"/>
      <c r="P65" s="356"/>
      <c r="Q65" s="356"/>
      <c r="R65" s="356"/>
      <c r="S65" s="356"/>
      <c r="T65" s="357"/>
      <c r="U65" s="4"/>
      <c r="V65" s="4"/>
      <c r="W65" s="4"/>
      <c r="X65" s="4"/>
      <c r="Y65" s="4"/>
      <c r="Z65" s="4"/>
      <c r="AA65" s="4"/>
    </row>
    <row r="66" spans="1:27" ht="12.75">
      <c r="A66" s="4"/>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21"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75">
      <c r="A68" s="4"/>
      <c r="B68" s="4"/>
      <c r="C68" s="4"/>
      <c r="D68" s="4"/>
      <c r="E68" s="4"/>
      <c r="F68" s="4"/>
      <c r="G68" s="4"/>
      <c r="H68" s="4"/>
      <c r="I68" s="4"/>
      <c r="J68" s="4"/>
      <c r="K68" s="368" t="str">
        <f>Import.Município</f>
        <v>Fontoura Xavier /RS</v>
      </c>
      <c r="L68" s="368"/>
      <c r="M68" s="368"/>
      <c r="N68" s="4"/>
      <c r="O68" s="4"/>
      <c r="P68" s="4"/>
      <c r="Q68" s="4"/>
      <c r="R68" s="4"/>
      <c r="S68" s="4"/>
      <c r="T68" s="4"/>
      <c r="U68" s="4"/>
      <c r="V68" s="4"/>
      <c r="W68" s="4"/>
      <c r="X68" s="4"/>
      <c r="Y68" s="4"/>
      <c r="Z68" s="4"/>
      <c r="AA68" s="4"/>
    </row>
    <row r="69" spans="1:27" ht="12.75">
      <c r="A69" s="4"/>
      <c r="B69" s="4"/>
      <c r="C69" s="4"/>
      <c r="D69" s="4"/>
      <c r="E69" s="4"/>
      <c r="F69" s="4"/>
      <c r="G69" s="4"/>
      <c r="H69" s="4"/>
      <c r="I69" s="4"/>
      <c r="J69" s="4"/>
      <c r="K69" s="112" t="s">
        <v>120</v>
      </c>
      <c r="L69" s="4"/>
      <c r="M69" s="4"/>
      <c r="N69" s="4"/>
      <c r="O69" s="4"/>
      <c r="P69" s="4"/>
      <c r="Q69" s="4"/>
      <c r="R69" s="4"/>
      <c r="S69" s="4"/>
      <c r="T69" s="4"/>
      <c r="U69" s="4"/>
      <c r="V69" s="4"/>
      <c r="W69" s="4"/>
      <c r="X69" s="4"/>
      <c r="Y69" s="4"/>
      <c r="Z69" s="4"/>
      <c r="AA69" s="4"/>
    </row>
    <row r="70" spans="1:27" ht="12.75">
      <c r="A70" s="4"/>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75">
      <c r="A71" s="4"/>
      <c r="B71" s="4"/>
      <c r="C71" s="4"/>
      <c r="D71" s="4"/>
      <c r="E71" s="4"/>
      <c r="F71" s="4"/>
      <c r="G71" s="4"/>
      <c r="H71" s="4"/>
      <c r="I71" s="4"/>
      <c r="J71" s="4"/>
      <c r="K71" s="367">
        <f ca="1">TODAY()</f>
        <v>45093</v>
      </c>
      <c r="L71" s="367"/>
      <c r="M71" s="367"/>
      <c r="N71" s="4"/>
      <c r="O71" s="4"/>
      <c r="P71" s="4"/>
      <c r="Q71" s="4"/>
      <c r="R71" s="4"/>
      <c r="S71" s="4"/>
      <c r="T71" s="4"/>
      <c r="U71" s="4"/>
      <c r="V71" s="4"/>
      <c r="W71" s="4"/>
      <c r="X71" s="4"/>
      <c r="Y71" s="4"/>
      <c r="Z71" s="4"/>
      <c r="AA71" s="4"/>
    </row>
    <row r="72" spans="1:27" ht="12.75">
      <c r="A72" s="4"/>
      <c r="B72" s="4"/>
      <c r="C72" s="4"/>
      <c r="D72" s="4"/>
      <c r="E72" s="4"/>
      <c r="F72" s="4"/>
      <c r="G72" s="4"/>
      <c r="H72" s="4"/>
      <c r="I72" s="4"/>
      <c r="J72" s="4"/>
      <c r="K72" s="141" t="s">
        <v>121</v>
      </c>
      <c r="L72" s="83"/>
      <c r="M72" s="83"/>
      <c r="N72" s="4"/>
      <c r="O72" s="4"/>
      <c r="P72" s="4"/>
      <c r="Q72" s="4"/>
      <c r="R72" s="4"/>
      <c r="S72" s="4"/>
      <c r="T72" s="4"/>
      <c r="U72" s="4"/>
      <c r="V72" s="4"/>
      <c r="W72" s="4"/>
      <c r="X72" s="4"/>
      <c r="Y72" s="4"/>
      <c r="Z72" s="4"/>
      <c r="AA72" s="4"/>
    </row>
  </sheetData>
  <sheetProtection algorithmName="SHA-512" hashValue="IN80lYy5TxjgGxXw03vQPT2r366mVOrfPWJq+QGTA89NNa3xj1a2JNF9eOj1CdfqZTIUUwjCwhvszU6xCp2blg==" saltValue="XV+ACv6AJBpWPBMN/uMXow==" spinCount="100000" sheet="1" objects="1" scenarios="1"/>
  <mergeCells count="6">
    <mergeCell ref="W2:X2"/>
    <mergeCell ref="K65:T65"/>
    <mergeCell ref="K61:T63"/>
    <mergeCell ref="M58:T58"/>
    <mergeCell ref="K71:M71"/>
    <mergeCell ref="K68:M68"/>
  </mergeCells>
  <conditionalFormatting sqref="O12:R12 L12:M12">
    <cfRule type="expression" priority="2855" dxfId="103" stopIfTrue="1">
      <formula>$J12=$C$2</formula>
    </cfRule>
    <cfRule type="expression" priority="2856" dxfId="252" stopIfTrue="1">
      <formula>UPPER(LEFT($J12,5))="NÍVEL"</formula>
    </cfRule>
    <cfRule type="expression" priority="2857" dxfId="254" stopIfTrue="1">
      <formula>$J12=$C$8</formula>
    </cfRule>
  </conditionalFormatting>
  <conditionalFormatting sqref="Y12:Z12 S12:T12 K12">
    <cfRule type="expression" priority="2858" dxfId="103" stopIfTrue="1">
      <formula>$J12=$C$2</formula>
    </cfRule>
    <cfRule type="expression" priority="2859" dxfId="252" stopIfTrue="1">
      <formula>UPPER(LEFT($J12,5))="NÍVEL"</formula>
    </cfRule>
  </conditionalFormatting>
  <conditionalFormatting sqref="K11 K13:K27 K29:K56">
    <cfRule type="expression" priority="2871" dxfId="16" stopIfTrue="1">
      <formula>$J11=$C$2</formula>
    </cfRule>
    <cfRule type="expression" priority="2872" dxfId="102" stopIfTrue="1">
      <formula>AND($J11&lt;&gt;"",$J11&lt;&gt;"Serviço")</formula>
    </cfRule>
    <cfRule type="expression" priority="2873" dxfId="101" stopIfTrue="1">
      <formula>$J11=""</formula>
    </cfRule>
  </conditionalFormatting>
  <conditionalFormatting sqref="P11 P13:P27 P29:P56">
    <cfRule type="expression" priority="1198" dxfId="213" stopIfTrue="1">
      <formula>$J11=$C$2</formula>
    </cfRule>
    <cfRule type="expression" priority="2877" dxfId="212" stopIfTrue="1">
      <formula>AND($J11&lt;&gt;"Serviço")</formula>
    </cfRule>
    <cfRule type="expression" priority="2878" dxfId="211" stopIfTrue="1">
      <formula>CELL("proteger",P11)</formula>
    </cfRule>
  </conditionalFormatting>
  <conditionalFormatting sqref="Q11:R11 Q13:R27 Q29:R56">
    <cfRule type="expression" priority="2879" dxfId="201" stopIfTrue="1">
      <formula>$J11=$C$2</formula>
    </cfRule>
    <cfRule type="expression" priority="2880" dxfId="200" stopIfTrue="1">
      <formula>$J11&lt;&gt;"Serviço"</formula>
    </cfRule>
    <cfRule type="expression" priority="2881" dxfId="115" stopIfTrue="1">
      <formula>CELL("proteger",Q11)</formula>
    </cfRule>
  </conditionalFormatting>
  <conditionalFormatting sqref="S11:T11 Y11:Z11 S13:T27 Y13:Z27 S29:T56 Y29:Z56">
    <cfRule type="expression" priority="2882" dxfId="16" stopIfTrue="1">
      <formula>$J11=$C$2</formula>
    </cfRule>
    <cfRule type="expression" priority="2883" dxfId="102" stopIfTrue="1">
      <formula>$J11&lt;&gt;"Serviço"</formula>
    </cfRule>
  </conditionalFormatting>
  <conditionalFormatting sqref="L11:M11 L13:M27 L29:M56">
    <cfRule type="expression" priority="2903" dxfId="201" stopIfTrue="1">
      <formula>$J11=$C$2</formula>
    </cfRule>
    <cfRule type="expression" priority="2904" dxfId="200" stopIfTrue="1">
      <formula>$J11&lt;&gt;"Serviço"</formula>
    </cfRule>
    <cfRule type="expression" priority="2905" dxfId="115" stopIfTrue="1">
      <formula>OR(CELL("proteger",L11),$J11="",TipoOrçamento="Licitado")</formula>
    </cfRule>
  </conditionalFormatting>
  <conditionalFormatting sqref="K58:T58">
    <cfRule type="expression" priority="2884" dxfId="86" stopIfTrue="1">
      <formula>OR(Tipo.Orçamento="LICITADO",Tipo.Orçamento="REPROGRAMADOAC")</formula>
    </cfRule>
    <cfRule type="expression" priority="2885" dxfId="236" stopIfTrue="1">
      <formula>$M$58=""</formula>
    </cfRule>
  </conditionalFormatting>
  <conditionalFormatting sqref="J11 J13:J14 J29 J17 J24:J25 J31:J37 J51:J53 J55:J56 J45:J49">
    <cfRule type="expression" priority="2912" dxfId="115" stopIfTrue="1">
      <formula>TipoOrçamento="Licitado"</formula>
    </cfRule>
  </conditionalFormatting>
  <conditionalFormatting sqref="O11 O13:O27 O29:O56">
    <cfRule type="expression" priority="1218" dxfId="201" stopIfTrue="1">
      <formula>$J11=$C$2</formula>
    </cfRule>
    <cfRule type="expression" priority="1219" dxfId="200" stopIfTrue="1">
      <formula>AND($J11&lt;&gt;"Serviço")</formula>
    </cfRule>
    <cfRule type="expression" priority="1220" dxfId="115" stopIfTrue="1">
      <formula>CELL("proteger",O11)</formula>
    </cfRule>
  </conditionalFormatting>
  <conditionalFormatting sqref="N11 N14:N27 N29:N56">
    <cfRule type="expression" priority="1221" dxfId="198" stopIfTrue="1">
      <formula>$J11=$C$2</formula>
    </cfRule>
    <cfRule type="expression" priority="1222" dxfId="102" stopIfTrue="1">
      <formula>$J11&lt;&gt;"Serviço"</formula>
    </cfRule>
    <cfRule type="expression" priority="1223" dxfId="115" stopIfTrue="1">
      <formula>CELL("proteger",N11)</formula>
    </cfRule>
  </conditionalFormatting>
  <conditionalFormatting sqref="N13">
    <cfRule type="expression" priority="1087" dxfId="198" stopIfTrue="1">
      <formula>$J13=$C$2</formula>
    </cfRule>
    <cfRule type="expression" priority="1088" dxfId="102" stopIfTrue="1">
      <formula>$J13&lt;&gt;"Serviço"</formula>
    </cfRule>
    <cfRule type="expression" priority="1089" dxfId="115" stopIfTrue="1">
      <formula>CELL("proteger",N13)</formula>
    </cfRule>
  </conditionalFormatting>
  <conditionalFormatting sqref="J15:J16">
    <cfRule type="expression" priority="594" dxfId="115" stopIfTrue="1">
      <formula>TipoOrçamento="Licitado"</formula>
    </cfRule>
  </conditionalFormatting>
  <conditionalFormatting sqref="J18:J21">
    <cfRule type="expression" priority="573" dxfId="115" stopIfTrue="1">
      <formula>TipoOrçamento="Licitado"</formula>
    </cfRule>
  </conditionalFormatting>
  <conditionalFormatting sqref="J27">
    <cfRule type="expression" priority="531" dxfId="115" stopIfTrue="1">
      <formula>TipoOrçamento="Licitado"</formula>
    </cfRule>
  </conditionalFormatting>
  <conditionalFormatting sqref="J22">
    <cfRule type="expression" priority="447" dxfId="115" stopIfTrue="1">
      <formula>TipoOrçamento="Licitado"</formula>
    </cfRule>
  </conditionalFormatting>
  <conditionalFormatting sqref="J26">
    <cfRule type="expression" priority="405" dxfId="115" stopIfTrue="1">
      <formula>TipoOrçamento="Licitado"</formula>
    </cfRule>
  </conditionalFormatting>
  <conditionalFormatting sqref="J30">
    <cfRule type="expression" priority="384" dxfId="115" stopIfTrue="1">
      <formula>TipoOrçamento="Licitado"</formula>
    </cfRule>
  </conditionalFormatting>
  <conditionalFormatting sqref="J23">
    <cfRule type="expression" priority="321" dxfId="115" stopIfTrue="1">
      <formula>TipoOrçamento="Licitado"</formula>
    </cfRule>
  </conditionalFormatting>
  <conditionalFormatting sqref="J38:J43">
    <cfRule type="expression" priority="279" dxfId="115" stopIfTrue="1">
      <formula>TipoOrçamento="Licitado"</formula>
    </cfRule>
  </conditionalFormatting>
  <conditionalFormatting sqref="J50">
    <cfRule type="expression" priority="84" dxfId="115" stopIfTrue="1">
      <formula>TipoOrçamento="Licitado"</formula>
    </cfRule>
  </conditionalFormatting>
  <conditionalFormatting sqref="K28">
    <cfRule type="expression" priority="50" dxfId="16" stopIfTrue="1">
      <formula>$J28=$C$2</formula>
    </cfRule>
    <cfRule type="expression" priority="51" dxfId="102" stopIfTrue="1">
      <formula>AND($J28&lt;&gt;"",$J28&lt;&gt;"Serviço")</formula>
    </cfRule>
    <cfRule type="expression" priority="52" dxfId="101" stopIfTrue="1">
      <formula>$J28=""</formula>
    </cfRule>
  </conditionalFormatting>
  <conditionalFormatting sqref="P28">
    <cfRule type="expression" priority="43" dxfId="213" stopIfTrue="1">
      <formula>$J28=$C$2</formula>
    </cfRule>
    <cfRule type="expression" priority="53" dxfId="212" stopIfTrue="1">
      <formula>AND($J28&lt;&gt;"Serviço")</formula>
    </cfRule>
    <cfRule type="expression" priority="54" dxfId="211" stopIfTrue="1">
      <formula>CELL("proteger",P28)</formula>
    </cfRule>
  </conditionalFormatting>
  <conditionalFormatting sqref="Q28:R28">
    <cfRule type="expression" priority="55" dxfId="201" stopIfTrue="1">
      <formula>$J28=$C$2</formula>
    </cfRule>
    <cfRule type="expression" priority="56" dxfId="200" stopIfTrue="1">
      <formula>$J28&lt;&gt;"Serviço"</formula>
    </cfRule>
    <cfRule type="expression" priority="57" dxfId="115" stopIfTrue="1">
      <formula>CELL("proteger",Q28)</formula>
    </cfRule>
  </conditionalFormatting>
  <conditionalFormatting sqref="S28:T28 Y28:Z28">
    <cfRule type="expression" priority="58" dxfId="16" stopIfTrue="1">
      <formula>$J28=$C$2</formula>
    </cfRule>
    <cfRule type="expression" priority="59" dxfId="102" stopIfTrue="1">
      <formula>$J28&lt;&gt;"Serviço"</formula>
    </cfRule>
  </conditionalFormatting>
  <conditionalFormatting sqref="L28:M28">
    <cfRule type="expression" priority="60" dxfId="201" stopIfTrue="1">
      <formula>$J28=$C$2</formula>
    </cfRule>
    <cfRule type="expression" priority="61" dxfId="200" stopIfTrue="1">
      <formula>$J28&lt;&gt;"Serviço"</formula>
    </cfRule>
    <cfRule type="expression" priority="62" dxfId="115" stopIfTrue="1">
      <formula>OR(CELL("proteger",L28),$J28="",TipoOrçamento="Licitado")</formula>
    </cfRule>
  </conditionalFormatting>
  <conditionalFormatting sqref="J28">
    <cfRule type="expression" priority="63" dxfId="115" stopIfTrue="1">
      <formula>TipoOrçamento="Licitado"</formula>
    </cfRule>
  </conditionalFormatting>
  <conditionalFormatting sqref="O28">
    <cfRule type="expression" priority="44" dxfId="201" stopIfTrue="1">
      <formula>$J28=$C$2</formula>
    </cfRule>
    <cfRule type="expression" priority="45" dxfId="200" stopIfTrue="1">
      <formula>AND($J28&lt;&gt;"Serviço")</formula>
    </cfRule>
    <cfRule type="expression" priority="46" dxfId="115" stopIfTrue="1">
      <formula>CELL("proteger",O28)</formula>
    </cfRule>
  </conditionalFormatting>
  <conditionalFormatting sqref="N28">
    <cfRule type="expression" priority="47" dxfId="198" stopIfTrue="1">
      <formula>$J28=$C$2</formula>
    </cfRule>
    <cfRule type="expression" priority="48" dxfId="102" stopIfTrue="1">
      <formula>$J28&lt;&gt;"Serviço"</formula>
    </cfRule>
    <cfRule type="expression" priority="49" dxfId="115" stopIfTrue="1">
      <formula>CELL("proteger",N28)</formula>
    </cfRule>
  </conditionalFormatting>
  <conditionalFormatting sqref="J44">
    <cfRule type="expression" priority="42" dxfId="115" stopIfTrue="1">
      <formula>TipoOrçamento="Licitado"</formula>
    </cfRule>
  </conditionalFormatting>
  <conditionalFormatting sqref="J54">
    <cfRule type="expression" priority="21" dxfId="115" stopIfTrue="1">
      <formula>TipoOrçamento="Licitado"</formula>
    </cfRule>
  </conditionalFormatting>
  <dataValidations count="3">
    <dataValidation type="decimal" operator="greaterThan" allowBlank="1" showInputMessage="1" showErrorMessage="1" error="Apenas números decimais maiores que zero." sqref="Q11 Q13:Q56">
      <formula1>0</formula1>
    </dataValidation>
    <dataValidation errorStyle="warning" type="list" allowBlank="1" showInputMessage="1" showErrorMessage="1" error="Selecione um dos 5 BDI da lista._x000a__x000a_Caso tenha mais de 5 BDI nesta Planilha Orçamentária digite apenas valor percentual." sqref="R11 R13:R56">
      <formula1>Dados.Lista.BDI</formula1>
    </dataValidation>
    <dataValidation type="list" showInputMessage="1" showErrorMessage="1" promptTitle="Nível:" prompt="Selecione na lista o nível de itemização da Planilha." errorTitle="Erro de Entrada" error="Selecione somente os itens da lista." sqref="J11 J14:J56">
      <formula1>$C$2:$G$2</formula1>
    </dataValidation>
  </dataValidations>
  <printOptions/>
  <pageMargins left="0.78740157480315" right="0.78740157480315" top="0.78740157480315" bottom="0.78740157480315" header="0.590551181102362" footer="0.590551181102362"/>
  <pageSetup fitToHeight="0" fitToWidth="1" horizontalDpi="600" verticalDpi="600" orientation="landscape" paperSize="9" scale="63" r:id="rId3"/>
  <headerFooter alignWithMargins="0">
    <oddHeader>&amp;C&amp;14I</oddHeader>
    <oddFooter>&amp;L27.476 v008   micro&amp;R&amp;P</oddFooter>
  </headerFooter>
  <ignoredErrors>
    <ignoredError sqref="K68 K71" unlockedFormula="1"/>
  </ignoredErrors>
  <drawing r:id="rId2"/>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2">
    <tabColor rgb="FFFFFF00"/>
  </sheetPr>
  <dimension ref="A1:U63"/>
  <sheetViews>
    <sheetView showGridLines="0" zoomScale="85" zoomScaleNormal="85" zoomScaleSheetLayoutView="100" workbookViewId="0" topLeftCell="A1">
      <pane xSplit="5" ySplit="10" topLeftCell="F11" activePane="bottomRight" state="frozen"/>
      <selection pane="topRight" activeCell="A1" sqref="A1"/>
      <selection pane="bottomLeft" activeCell="A1" sqref="A1"/>
      <selection pane="bottomRight" activeCell="K30" sqref="K30"/>
    </sheetView>
  </sheetViews>
  <sheetFormatPr defaultColWidth="9.140625" defaultRowHeight="12.75"/>
  <cols>
    <col min="1" max="1" width="12.7109375" style="0" customWidth="1"/>
    <col min="2" max="2" width="10.7109375" style="0" customWidth="1"/>
    <col min="3" max="3" width="60.57421875" style="0" customWidth="1"/>
    <col min="4" max="4" width="7.7109375" style="0" customWidth="1"/>
    <col min="5" max="5" width="12.7109375" style="0" customWidth="1"/>
    <col min="6" max="15" width="11.7109375" style="0" customWidth="1"/>
    <col min="16" max="16" width="0.85546875" style="0" customWidth="1"/>
    <col min="21" max="21" width="11.7109375" style="0" hidden="1" customWidth="1"/>
  </cols>
  <sheetData>
    <row r="1" spans="5:15" s="4" customFormat="1" ht="17.25" customHeight="1">
      <c r="E1" s="85" t="s">
        <v>63</v>
      </c>
      <c r="F1" s="36" t="s">
        <v>64</v>
      </c>
      <c r="K1" s="18"/>
      <c r="O1"/>
    </row>
    <row r="2" spans="4:15" s="4" customFormat="1" ht="15.75">
      <c r="D2" s="6"/>
      <c r="E2" s="85"/>
      <c r="F2" s="36"/>
      <c r="K2" s="19"/>
      <c r="O2"/>
    </row>
    <row r="3" spans="11:16" s="4" customFormat="1" ht="12.75">
      <c r="K3" s="20"/>
      <c r="P3" s="20"/>
    </row>
    <row r="4" s="4" customFormat="1" ht="39.9" customHeight="1">
      <c r="P4" s="20"/>
    </row>
    <row r="5" s="4" customFormat="1" ht="39.9" customHeight="1">
      <c r="P5" s="20"/>
    </row>
    <row r="6" s="4" customFormat="1" ht="20.25" customHeight="1">
      <c r="P6" s="20"/>
    </row>
    <row r="7" spans="5:16" s="4" customFormat="1" ht="12.75" customHeight="1" hidden="1">
      <c r="E7" s="224">
        <f ca="1">OFFSET(PO!$P$12,ROW($E7)-ROW(E$12),0)</f>
        <v>0</v>
      </c>
      <c r="P7" s="20"/>
    </row>
    <row r="8" s="4" customFormat="1" ht="9.9" customHeight="1">
      <c r="P8" s="20"/>
    </row>
    <row r="9" spans="2:21" s="4" customFormat="1" ht="60" customHeight="1">
      <c r="B9" s="17"/>
      <c r="C9" s="14"/>
      <c r="D9" s="9"/>
      <c r="E9" s="146" t="s">
        <v>46</v>
      </c>
      <c r="F9" s="122" t="s">
        <v>228</v>
      </c>
      <c r="G9" s="122"/>
      <c r="H9" s="122"/>
      <c r="I9" s="122"/>
      <c r="J9" s="122"/>
      <c r="K9" s="122"/>
      <c r="L9" s="122"/>
      <c r="M9" s="122"/>
      <c r="N9" s="122"/>
      <c r="O9" s="122"/>
      <c r="U9" s="122"/>
    </row>
    <row r="10" spans="1:21" s="15" customFormat="1" ht="30" customHeight="1">
      <c r="A10" s="123" t="s">
        <v>3</v>
      </c>
      <c r="B10" s="123" t="s">
        <v>146</v>
      </c>
      <c r="C10" s="123" t="s">
        <v>141</v>
      </c>
      <c r="D10" s="124" t="s">
        <v>157</v>
      </c>
      <c r="E10" s="123" t="s">
        <v>147</v>
      </c>
      <c r="F10" s="125">
        <f aca="true" ca="1" t="shared" si="0" ref="F10:O10">IF(OFFSET(F10,0,-1)="Quantidade",1,OFFSET(F10,0,-1)+1)</f>
        <v>1</v>
      </c>
      <c r="G10" s="125">
        <f ca="1" t="shared" si="0"/>
        <v>2</v>
      </c>
      <c r="H10" s="125">
        <f ca="1" t="shared" si="0"/>
        <v>3</v>
      </c>
      <c r="I10" s="125">
        <f ca="1" t="shared" si="0"/>
        <v>4</v>
      </c>
      <c r="J10" s="125">
        <f ca="1" t="shared" si="0"/>
        <v>5</v>
      </c>
      <c r="K10" s="125">
        <f ca="1" t="shared" si="0"/>
        <v>6</v>
      </c>
      <c r="L10" s="125">
        <f ca="1" t="shared" si="0"/>
        <v>7</v>
      </c>
      <c r="M10" s="125">
        <f ca="1" t="shared" si="0"/>
        <v>8</v>
      </c>
      <c r="N10" s="125">
        <f ca="1" t="shared" si="0"/>
        <v>9</v>
      </c>
      <c r="O10" s="125">
        <f ca="1" t="shared" si="0"/>
        <v>10</v>
      </c>
      <c r="U10" s="125">
        <f ca="1">IF(OFFSET(U10,0,-1)="Quantidade",1,OFFSET(U10,0,-1)+1)</f>
        <v>1</v>
      </c>
    </row>
    <row r="11" spans="1:21" s="4" customFormat="1" ht="12.75" hidden="1">
      <c r="A11" s="128" t="str">
        <f ca="1">OFFSET(PO!J$12,ROW(A11)-ROW($A$12),0)</f>
        <v>Serviço</v>
      </c>
      <c r="B11" s="130" t="e">
        <f ca="1">IF($A11=0,"",OFFSET(PO!K$12,ROW(B11)-ROW(B$12),0))</f>
        <v>#VALUE!</v>
      </c>
      <c r="C11" s="127" t="str">
        <f ca="1">IF(OFFSET(PO!N$12,ROW(C11)-ROW(C$12),0)=0,"",OFFSET(PO!N$12,ROW(C11)-ROW(C$12),0))</f>
        <v/>
      </c>
      <c r="D11" s="129" t="str">
        <f ca="1">IF(OFFSET(PO!O$12,ROW(D11)-ROW(D$12),0)=0,"",OFFSET(PO!O$12,ROW(D11)-ROW(D$12),0))</f>
        <v/>
      </c>
      <c r="E11" s="165">
        <f ca="1">IF($A11&lt;&gt;"Serviço",0,ROUND(SUMIF($F$9:$P$9,"&lt;&gt;",$F11:$P11),15-13*PO!$X$3))</f>
        <v>0</v>
      </c>
      <c r="F11" s="215"/>
      <c r="G11" s="215"/>
      <c r="H11" s="215"/>
      <c r="I11" s="215"/>
      <c r="J11" s="215"/>
      <c r="K11" s="215"/>
      <c r="L11" s="215"/>
      <c r="M11" s="215"/>
      <c r="N11" s="215"/>
      <c r="O11" s="215"/>
      <c r="U11" s="215"/>
    </row>
    <row r="12" spans="1:21" s="4" customFormat="1" ht="12.75">
      <c r="A12" s="76" t="str">
        <f>PO!J12</f>
        <v>LOTE</v>
      </c>
      <c r="B12" s="76"/>
      <c r="C12" s="76" t="str">
        <f>PO!N12</f>
        <v xml:space="preserve">Trechos de Vias Públicas de Área Urbana </v>
      </c>
      <c r="D12" s="76"/>
      <c r="E12" s="216"/>
      <c r="F12" s="217"/>
      <c r="G12" s="217"/>
      <c r="H12" s="217"/>
      <c r="I12" s="217"/>
      <c r="J12" s="217"/>
      <c r="K12" s="217"/>
      <c r="L12" s="217"/>
      <c r="M12" s="217"/>
      <c r="N12" s="217"/>
      <c r="O12" s="217"/>
      <c r="U12" s="217"/>
    </row>
    <row r="13" spans="1:21" s="4" customFormat="1" ht="12.75">
      <c r="A13" s="126" t="str">
        <f ca="1">OFFSET(PO!J$12,ROW(A13)-ROW($A$12),0)</f>
        <v>Meta</v>
      </c>
      <c r="B13" s="130" t="str">
        <f ca="1">IF($A13=0,"",OFFSET(PO!K$12,ROW(B13)-ROW(B$12),0))</f>
        <v>1.</v>
      </c>
      <c r="C13" s="127" t="str">
        <f ca="1">IF(OFFSET(PO!N$12,ROW(C13)-ROW(C$12),0)=0,"",OFFSET(PO!N$12,ROW(C13)-ROW(C$12),0))</f>
        <v>Trecho da Rua Lindolfo José da Rosa</v>
      </c>
      <c r="D13" s="129" t="str">
        <f ca="1">IF(OFFSET(PO!O$12,ROW(D13)-ROW(D$12),0)=0,"",OFFSET(PO!O$12,ROW(D13)-ROW(D$12),0))</f>
        <v/>
      </c>
      <c r="E13" s="165">
        <f ca="1">IF($A13&lt;&gt;"Serviço",0,ROUND(SUMIF($F$9:$P$9,"&lt;&gt;",$F13:$P13),15-13*PO!$X$3))</f>
        <v>0</v>
      </c>
      <c r="F13" s="215">
        <v>0</v>
      </c>
      <c r="G13" s="215"/>
      <c r="H13" s="215"/>
      <c r="I13" s="215"/>
      <c r="J13" s="215"/>
      <c r="K13" s="215"/>
      <c r="L13" s="215"/>
      <c r="M13" s="215"/>
      <c r="N13" s="215"/>
      <c r="O13" s="215"/>
      <c r="U13" s="215"/>
    </row>
    <row r="14" spans="1:21" s="4" customFormat="1" ht="12.75">
      <c r="A14" s="128" t="str">
        <f ca="1">OFFSET(PO!J$12,ROW(A14)-ROW($A$12),0)</f>
        <v>Nível 2</v>
      </c>
      <c r="B14" s="130" t="str">
        <f ca="1">IF($A14=0,"",OFFSET(PO!K$12,ROW(B14)-ROW(B$12),0))</f>
        <v>1.1.</v>
      </c>
      <c r="C14" s="127" t="str">
        <f ca="1">IF(OFFSET(PO!N$12,ROW(C14)-ROW(C$12),0)=0,"",OFFSET(PO!N$12,ROW(C14)-ROW(C$12),0))</f>
        <v xml:space="preserve">Serviços Preliminares </v>
      </c>
      <c r="D14" s="129" t="str">
        <f ca="1">IF(OFFSET(PO!O$12,ROW(D14)-ROW(D$12),0)=0,"",OFFSET(PO!O$12,ROW(D14)-ROW(D$12),0))</f>
        <v/>
      </c>
      <c r="E14" s="165">
        <f ca="1">IF($A14&lt;&gt;"Serviço",0,ROUND(SUMIF($F$9:$P$9,"&lt;&gt;",$F14:$P14),15-13*PO!$X$3))</f>
        <v>0</v>
      </c>
      <c r="F14" s="215">
        <v>0</v>
      </c>
      <c r="G14" s="215"/>
      <c r="H14" s="215"/>
      <c r="I14" s="215"/>
      <c r="J14" s="215"/>
      <c r="K14" s="215"/>
      <c r="L14" s="215"/>
      <c r="M14" s="215"/>
      <c r="N14" s="215"/>
      <c r="O14" s="215"/>
      <c r="U14" s="215"/>
    </row>
    <row r="15" spans="1:21" s="4" customFormat="1" ht="26.4">
      <c r="A15" s="128" t="str">
        <f ca="1">OFFSET(PO!J$12,ROW(A15)-ROW($A$12),0)</f>
        <v>Serviço</v>
      </c>
      <c r="B15" s="130" t="str">
        <f ca="1">IF($A15=0,"",OFFSET(PO!K$12,ROW(B15)-ROW(B$12),0))</f>
        <v>1.1.1.</v>
      </c>
      <c r="C15" s="127" t="str">
        <f ca="1">IF(OFFSET(PO!N$12,ROW(C15)-ROW(C$12),0)=0,"",OFFSET(PO!N$12,ROW(C15)-ROW(C$12),0))</f>
        <v>Placa de Obra 2,0 x 1,25 m</v>
      </c>
      <c r="D15" s="129" t="str">
        <f ca="1">IF(OFFSET(PO!O$12,ROW(D15)-ROW(D$12),0)=0,"",OFFSET(PO!O$12,ROW(D15)-ROW(D$12),0))</f>
        <v>UNIDADE</v>
      </c>
      <c r="E15" s="165">
        <f ca="1">IF($A15&lt;&gt;"Serviço",0,ROUND(SUMIF($F$9:$P$9,"&lt;&gt;",$F15:$P15),15-13*PO!$X$3))</f>
        <v>1</v>
      </c>
      <c r="F15" s="215">
        <v>1</v>
      </c>
      <c r="G15" s="215"/>
      <c r="H15" s="215"/>
      <c r="I15" s="215"/>
      <c r="J15" s="215"/>
      <c r="K15" s="215"/>
      <c r="L15" s="215"/>
      <c r="M15" s="215"/>
      <c r="N15" s="215"/>
      <c r="O15" s="215"/>
      <c r="U15" s="215"/>
    </row>
    <row r="16" spans="1:21" s="4" customFormat="1" ht="26.4">
      <c r="A16" s="128" t="str">
        <f ca="1">OFFSET(PO!J$12,ROW(A16)-ROW($A$12),0)</f>
        <v>Serviço</v>
      </c>
      <c r="B16" s="130" t="str">
        <f ca="1">IF($A16=0,"",OFFSET(PO!K$12,ROW(B16)-ROW(B$12),0))</f>
        <v>1.1.2.</v>
      </c>
      <c r="C16" s="127" t="str">
        <f ca="1">IF(OFFSET(PO!N$12,ROW(C16)-ROW(C$12),0)=0,"",OFFSET(PO!N$12,ROW(C16)-ROW(C$12),0))</f>
        <v>REGULARIZAÇÃO DE SUPERFÍCIES COM MOTONIVELADORA. AF_11/2019</v>
      </c>
      <c r="D16" s="129" t="str">
        <f ca="1">IF(OFFSET(PO!O$12,ROW(D16)-ROW(D$12),0)=0,"",OFFSET(PO!O$12,ROW(D16)-ROW(D$12),0))</f>
        <v>M2</v>
      </c>
      <c r="E16" s="165">
        <f ca="1">IF($A16&lt;&gt;"Serviço",0,ROUND(SUMIF($F$9:$P$9,"&lt;&gt;",$F16:$P16),15-13*PO!$X$3))</f>
        <v>1286.5</v>
      </c>
      <c r="F16" s="215">
        <v>1286.5</v>
      </c>
      <c r="G16" s="215"/>
      <c r="H16" s="215"/>
      <c r="I16" s="215"/>
      <c r="J16" s="215"/>
      <c r="K16" s="215"/>
      <c r="L16" s="215"/>
      <c r="M16" s="215"/>
      <c r="N16" s="215"/>
      <c r="O16" s="215"/>
      <c r="U16" s="215"/>
    </row>
    <row r="17" spans="1:21" s="4" customFormat="1" ht="12.75">
      <c r="A17" s="128" t="str">
        <f ca="1">OFFSET(PO!J$12,ROW(A17)-ROW($A$12),0)</f>
        <v>Nível 2</v>
      </c>
      <c r="B17" s="130" t="str">
        <f ca="1">IF($A17=0,"",OFFSET(PO!K$12,ROW(B17)-ROW(B$12),0))</f>
        <v>1.2.</v>
      </c>
      <c r="C17" s="127" t="str">
        <f ca="1">IF(OFFSET(PO!N$12,ROW(C17)-ROW(C$12),0)=0,"",OFFSET(PO!N$12,ROW(C17)-ROW(C$12),0))</f>
        <v>Microdrenagem</v>
      </c>
      <c r="D17" s="129" t="str">
        <f ca="1">IF(OFFSET(PO!O$12,ROW(D17)-ROW(D$12),0)=0,"",OFFSET(PO!O$12,ROW(D17)-ROW(D$12),0))</f>
        <v/>
      </c>
      <c r="E17" s="165">
        <f ca="1">IF($A17&lt;&gt;"Serviço",0,ROUND(SUMIF($F$9:$P$9,"&lt;&gt;",$F17:$P17),15-13*PO!$X$3))</f>
        <v>0</v>
      </c>
      <c r="F17" s="215">
        <v>0</v>
      </c>
      <c r="G17" s="215"/>
      <c r="H17" s="215"/>
      <c r="I17" s="215"/>
      <c r="J17" s="215"/>
      <c r="K17" s="215"/>
      <c r="L17" s="215"/>
      <c r="M17" s="215"/>
      <c r="N17" s="215"/>
      <c r="O17" s="215"/>
      <c r="U17" s="215"/>
    </row>
    <row r="18" spans="1:21" s="4" customFormat="1" ht="66">
      <c r="A18" s="128" t="str">
        <f ca="1">OFFSET(PO!J$12,ROW(A18)-ROW($A$12),0)</f>
        <v>Serviço</v>
      </c>
      <c r="B18" s="130" t="str">
        <f ca="1">IF($A18=0,"",OFFSET(PO!K$12,ROW(B18)-ROW(B$12),0))</f>
        <v>1.2.1.</v>
      </c>
      <c r="C18" s="127" t="str">
        <f ca="1">IF(OFFSET(PO!N$12,ROW(C18)-ROW(C$12),0)=0,"",OFFSET(PO!N$12,ROW(C18)-ROW(C$12),0))</f>
        <v>ESCAVAÇÃO MECANIZADA DE VALA COM PROFUNDIDADE ATÉ 1,5 M (MÉDIA MONTANTE E JUSANTE/UMA COMPOSIÇÃO POR TRECHO), RETROESCAV. (0,26 M3), LARGURA DE 0,8 M A 1,5 M, EM SOLO DE 1A CATEGORIA, LOCAIS COM BAIXO NÍVEL DE INTERFERÊNCIA. AF_02/2021</v>
      </c>
      <c r="D18" s="129" t="str">
        <f ca="1">IF(OFFSET(PO!O$12,ROW(D18)-ROW(D$12),0)=0,"",OFFSET(PO!O$12,ROW(D18)-ROW(D$12),0))</f>
        <v>M3</v>
      </c>
      <c r="E18" s="165">
        <f ca="1">IF($A18&lt;&gt;"Serviço",0,ROUND(SUMIF($F$9:$P$9,"&lt;&gt;",$F18:$P18),15-13*PO!$X$3))</f>
        <v>203.22</v>
      </c>
      <c r="F18" s="215">
        <v>203.22</v>
      </c>
      <c r="G18" s="215"/>
      <c r="H18" s="215"/>
      <c r="I18" s="215"/>
      <c r="J18" s="215"/>
      <c r="K18" s="215"/>
      <c r="L18" s="215"/>
      <c r="M18" s="215"/>
      <c r="N18" s="215"/>
      <c r="O18" s="215"/>
      <c r="U18" s="215"/>
    </row>
    <row r="19" spans="1:21" s="4" customFormat="1" ht="26.4">
      <c r="A19" s="128" t="str">
        <f ca="1">OFFSET(PO!J$12,ROW(A19)-ROW($A$12),0)</f>
        <v>Serviço</v>
      </c>
      <c r="B19" s="130" t="str">
        <f ca="1">IF($A19=0,"",OFFSET(PO!K$12,ROW(B19)-ROW(B$12),0))</f>
        <v>1.2.2.</v>
      </c>
      <c r="C19" s="127" t="str">
        <f ca="1">IF(OFFSET(PO!N$12,ROW(C19)-ROW(C$12),0)=0,"",OFFSET(PO!N$12,ROW(C19)-ROW(C$12),0))</f>
        <v>PREPARO DE FUNDO DE VALA COM LARGURA MENOR QUE 1,5 M (ACERTO DO SOLO NATURAL). AF_08/2020</v>
      </c>
      <c r="D19" s="129" t="str">
        <f ca="1">IF(OFFSET(PO!O$12,ROW(D19)-ROW(D$12),0)=0,"",OFFSET(PO!O$12,ROW(D19)-ROW(D$12),0))</f>
        <v>M2</v>
      </c>
      <c r="E19" s="165">
        <f ca="1">IF($A19&lt;&gt;"Serviço",0,ROUND(SUMIF($F$9:$P$9,"&lt;&gt;",$F19:$P19),15-13*PO!$X$3))</f>
        <v>152.44</v>
      </c>
      <c r="F19" s="215">
        <v>152.44</v>
      </c>
      <c r="G19" s="215"/>
      <c r="H19" s="215"/>
      <c r="I19" s="215"/>
      <c r="J19" s="215"/>
      <c r="K19" s="215"/>
      <c r="L19" s="215"/>
      <c r="M19" s="215"/>
      <c r="N19" s="215"/>
      <c r="O19" s="215"/>
      <c r="U19" s="215"/>
    </row>
    <row r="20" spans="1:21" s="4" customFormat="1" ht="26.4">
      <c r="A20" s="128" t="str">
        <f ca="1">OFFSET(PO!J$12,ROW(A20)-ROW($A$12),0)</f>
        <v>Serviço</v>
      </c>
      <c r="B20" s="130" t="str">
        <f ca="1">IF($A20=0,"",OFFSET(PO!K$12,ROW(B20)-ROW(B$12),0))</f>
        <v>1.2.3.</v>
      </c>
      <c r="C20" s="127" t="str">
        <f ca="1">IF(OFFSET(PO!N$12,ROW(C20)-ROW(C$12),0)=0,"",OFFSET(PO!N$12,ROW(C20)-ROW(C$12),0))</f>
        <v xml:space="preserve">PEDRA BRITADA N. 1 (9,5 a 19 MM) POSTO PEDREIRA/FORNECEDOR, SEM FRETE                                                                                                                                                                                                                                                                                                                                                                                                                                     </v>
      </c>
      <c r="D20" s="129" t="str">
        <f ca="1">IF(OFFSET(PO!O$12,ROW(D20)-ROW(D$12),0)=0,"",OFFSET(PO!O$12,ROW(D20)-ROW(D$12),0))</f>
        <v xml:space="preserve">M3    </v>
      </c>
      <c r="E20" s="165">
        <f ca="1">IF($A20&lt;&gt;"Serviço",0,ROUND(SUMIF($F$9:$P$9,"&lt;&gt;",$F20:$P20),15-13*PO!$X$3))</f>
        <v>7.61</v>
      </c>
      <c r="F20" s="215">
        <v>7.61</v>
      </c>
      <c r="G20" s="215"/>
      <c r="H20" s="215"/>
      <c r="I20" s="215"/>
      <c r="J20" s="215"/>
      <c r="K20" s="215"/>
      <c r="L20" s="215"/>
      <c r="M20" s="215"/>
      <c r="N20" s="215"/>
      <c r="O20" s="215"/>
      <c r="U20" s="215"/>
    </row>
    <row r="21" spans="1:21" s="4" customFormat="1" ht="52.8">
      <c r="A21" s="128" t="str">
        <f ca="1">OFFSET(PO!J$12,ROW(A21)-ROW($A$12),0)</f>
        <v>Serviço</v>
      </c>
      <c r="B21" s="130" t="str">
        <f ca="1">IF($A21=0,"",OFFSET(PO!K$12,ROW(B21)-ROW(B$12),0))</f>
        <v>1.2.4.</v>
      </c>
      <c r="C21" s="127" t="str">
        <f ca="1">IF(OFFSET(PO!N$12,ROW(C21)-ROW(C$12),0)=0,"",OFFSET(PO!N$12,ROW(C21)-ROW(C$12),0))</f>
        <v>TUBO DE CONCRETO (SIMPLES) PARA REDES COLETORAS DE ÁGUAS PLUVIAIS, DIÂMETRO DE 500 MM, JUNTA RÍGIDA, INSTALADO EM LOCAL COM BAIXO NÍVEL DE INTERFERÊNCIAS - FORNECIMENTO E ASSENTAMENTO. AF_12/2015</v>
      </c>
      <c r="D21" s="129" t="str">
        <f ca="1">IF(OFFSET(PO!O$12,ROW(D21)-ROW(D$12),0)=0,"",OFFSET(PO!O$12,ROW(D21)-ROW(D$12),0))</f>
        <v>M</v>
      </c>
      <c r="E21" s="165">
        <f ca="1">IF($A21&lt;&gt;"Serviço",0,ROUND(SUMIF($F$9:$P$9,"&lt;&gt;",$F21:$P21),15-13*PO!$X$3))</f>
        <v>109.52</v>
      </c>
      <c r="F21" s="215">
        <v>109.52</v>
      </c>
      <c r="G21" s="215"/>
      <c r="H21" s="215"/>
      <c r="I21" s="215"/>
      <c r="J21" s="215"/>
      <c r="K21" s="215"/>
      <c r="L21" s="215"/>
      <c r="M21" s="215"/>
      <c r="N21" s="215"/>
      <c r="O21" s="215"/>
      <c r="U21" s="215"/>
    </row>
    <row r="22" spans="1:21" s="4" customFormat="1" ht="52.8">
      <c r="A22" s="128" t="str">
        <f ca="1">OFFSET(PO!J$12,ROW(A22)-ROW($A$12),0)</f>
        <v>Serviço</v>
      </c>
      <c r="B22" s="130" t="str">
        <f ca="1">IF($A22=0,"",OFFSET(PO!K$12,ROW(B22)-ROW(B$12),0))</f>
        <v>1.2.5.</v>
      </c>
      <c r="C22" s="127" t="str">
        <f ca="1">IF(OFFSET(PO!N$12,ROW(C22)-ROW(C$12),0)=0,"",OFFSET(PO!N$12,ROW(C22)-ROW(C$12),0))</f>
        <v>TUBO DE CONCRETO PARA REDES COLETORAS DE ÁGUAS PLUVIAIS, DIÂMETRO DE 400 MM, JUNTA RÍGIDA, INSTALADO EM LOCAL COM BAIXO NÍVEL DE INTERFERÊNCIAS - FORNECIMENTO E ASSENTAMENTO. AF_12/2015</v>
      </c>
      <c r="D22" s="129" t="str">
        <f ca="1">IF(OFFSET(PO!O$12,ROW(D22)-ROW(D$12),0)=0,"",OFFSET(PO!O$12,ROW(D22)-ROW(D$12),0))</f>
        <v>M</v>
      </c>
      <c r="E22" s="165">
        <f ca="1">IF($A22&lt;&gt;"Serviço",0,ROUND(SUMIF($F$9:$P$9,"&lt;&gt;",$F22:$P22),15-13*PO!$X$3))</f>
        <v>19.4</v>
      </c>
      <c r="F22" s="215">
        <v>19.4</v>
      </c>
      <c r="G22" s="215"/>
      <c r="H22" s="215"/>
      <c r="I22" s="215"/>
      <c r="J22" s="215"/>
      <c r="K22" s="215"/>
      <c r="L22" s="215"/>
      <c r="M22" s="215"/>
      <c r="N22" s="215"/>
      <c r="O22" s="215"/>
      <c r="U22" s="215"/>
    </row>
    <row r="23" spans="1:21" s="4" customFormat="1" ht="26.4">
      <c r="A23" s="128" t="str">
        <f ca="1">OFFSET(PO!J$12,ROW(A23)-ROW($A$12),0)</f>
        <v>Serviço</v>
      </c>
      <c r="B23" s="130" t="str">
        <f ca="1">IF($A23=0,"",OFFSET(PO!K$12,ROW(B23)-ROW(B$12),0))</f>
        <v>1.2.6.</v>
      </c>
      <c r="C23" s="127" t="str">
        <f ca="1">IF(OFFSET(PO!N$12,ROW(C23)-ROW(C$12),0)=0,"",OFFSET(PO!N$12,ROW(C23)-ROW(C$12),0))</f>
        <v>Caixa para boca de lobo em alvenaria de tijilo maciço. Dimensões internas: 0,80x0,80x1,20m</v>
      </c>
      <c r="D23" s="129" t="str">
        <f ca="1">IF(OFFSET(PO!O$12,ROW(D23)-ROW(D$12),0)=0,"",OFFSET(PO!O$12,ROW(D23)-ROW(D$12),0))</f>
        <v>UNIDADE</v>
      </c>
      <c r="E23" s="165">
        <f ca="1">IF($A23&lt;&gt;"Serviço",0,ROUND(SUMIF($F$9:$P$9,"&lt;&gt;",$F23:$P23),15-13*PO!$X$3))</f>
        <v>4</v>
      </c>
      <c r="F23" s="215">
        <v>4</v>
      </c>
      <c r="G23" s="215"/>
      <c r="H23" s="215"/>
      <c r="I23" s="215"/>
      <c r="J23" s="215"/>
      <c r="K23" s="215"/>
      <c r="L23" s="215"/>
      <c r="M23" s="215"/>
      <c r="N23" s="215"/>
      <c r="O23" s="215"/>
      <c r="U23" s="215"/>
    </row>
    <row r="24" spans="1:21" s="4" customFormat="1" ht="66">
      <c r="A24" s="128" t="str">
        <f ca="1">OFFSET(PO!J$12,ROW(A24)-ROW($A$12),0)</f>
        <v>Serviço</v>
      </c>
      <c r="B24" s="130" t="str">
        <f ca="1">IF($A24=0,"",OFFSET(PO!K$12,ROW(B24)-ROW(B$12),0))</f>
        <v>1.2.7.</v>
      </c>
      <c r="C24" s="127" t="str">
        <f ca="1">IF(OFFSET(PO!N$12,ROW(C24)-ROW(C$12),0)=0,"",OFFSET(PO!N$12,ROW(C24)-ROW(C$12),0))</f>
        <v>REATERRO MECANIZADO DE VALA COM RETROESCAVADEIRA (CAPACIDADE DA CAÇAMBA DA RETRO: 0,26 M³ / POTÊNCIA: 88 HP), LARGURA DE 0,8 A 1,5 M, PROFUNDIDADE ATÉ 1,5 M, COM SOLO DE 1ª CATEGORIA EM LOCAIS COM BAIXO NÍVEL DE INTERFERÊNCIA. AF_04/2016</v>
      </c>
      <c r="D24" s="129" t="str">
        <f ca="1">IF(OFFSET(PO!O$12,ROW(D24)-ROW(D$12),0)=0,"",OFFSET(PO!O$12,ROW(D24)-ROW(D$12),0))</f>
        <v>M3</v>
      </c>
      <c r="E24" s="165">
        <f ca="1">IF($A24&lt;&gt;"Serviço",0,ROUND(SUMIF($F$9:$P$9,"&lt;&gt;",$F24:$P24),15-13*PO!$X$3))</f>
        <v>91.45</v>
      </c>
      <c r="F24" s="215">
        <v>91.45</v>
      </c>
      <c r="G24" s="215"/>
      <c r="H24" s="215"/>
      <c r="I24" s="215"/>
      <c r="J24" s="215"/>
      <c r="K24" s="215"/>
      <c r="L24" s="215"/>
      <c r="M24" s="215"/>
      <c r="N24" s="215"/>
      <c r="O24" s="215"/>
      <c r="U24" s="215"/>
    </row>
    <row r="25" spans="1:21" s="4" customFormat="1" ht="12.75">
      <c r="A25" s="128" t="str">
        <f ca="1">OFFSET(PO!J$12,ROW(A25)-ROW($A$12),0)</f>
        <v>Nível 2</v>
      </c>
      <c r="B25" s="130" t="str">
        <f ca="1">IF($A25=0,"",OFFSET(PO!K$12,ROW(B25)-ROW(B$12),0))</f>
        <v>1.3.</v>
      </c>
      <c r="C25" s="127" t="str">
        <f ca="1">IF(OFFSET(PO!N$12,ROW(C25)-ROW(C$12),0)=0,"",OFFSET(PO!N$12,ROW(C25)-ROW(C$12),0))</f>
        <v>Pavimentação</v>
      </c>
      <c r="D25" s="129" t="str">
        <f ca="1">IF(OFFSET(PO!O$12,ROW(D25)-ROW(D$12),0)=0,"",OFFSET(PO!O$12,ROW(D25)-ROW(D$12),0))</f>
        <v/>
      </c>
      <c r="E25" s="165">
        <f ca="1">IF($A25&lt;&gt;"Serviço",0,ROUND(SUMIF($F$9:$P$9,"&lt;&gt;",$F25:$P25),15-13*PO!$X$3))</f>
        <v>0</v>
      </c>
      <c r="F25" s="215">
        <v>0</v>
      </c>
      <c r="G25" s="215"/>
      <c r="H25" s="215"/>
      <c r="I25" s="215"/>
      <c r="J25" s="215"/>
      <c r="K25" s="215"/>
      <c r="L25" s="215"/>
      <c r="M25" s="215"/>
      <c r="N25" s="215"/>
      <c r="O25" s="215"/>
      <c r="U25" s="215"/>
    </row>
    <row r="26" spans="1:21" s="4" customFormat="1" ht="26.4">
      <c r="A26" s="128" t="str">
        <f ca="1">OFFSET(PO!J$12,ROW(A26)-ROW($A$12),0)</f>
        <v>Serviço</v>
      </c>
      <c r="B26" s="130" t="str">
        <f ca="1">IF($A26=0,"",OFFSET(PO!K$12,ROW(B26)-ROW(B$12),0))</f>
        <v>1.3.1.</v>
      </c>
      <c r="C26" s="127" t="str">
        <f ca="1">IF(OFFSET(PO!N$12,ROW(C26)-ROW(C$12),0)=0,"",OFFSET(PO!N$12,ROW(C26)-ROW(C$12),0))</f>
        <v>Execução de via em piso intertravado, com bloco retangular cor natural de 20 x 10 cm, espessura 8 cm.</v>
      </c>
      <c r="D26" s="129" t="str">
        <f ca="1">IF(OFFSET(PO!O$12,ROW(D26)-ROW(D$12),0)=0,"",OFFSET(PO!O$12,ROW(D26)-ROW(D$12),0))</f>
        <v>m²</v>
      </c>
      <c r="E26" s="165">
        <f ca="1">IF($A26&lt;&gt;"Serviço",0,ROUND(SUMIF($F$9:$P$9,"&lt;&gt;",$F26:$P26),15-13*PO!$X$3))</f>
        <v>1247.95</v>
      </c>
      <c r="F26" s="215">
        <v>1247.95</v>
      </c>
      <c r="G26" s="215"/>
      <c r="H26" s="215"/>
      <c r="I26" s="215"/>
      <c r="J26" s="215"/>
      <c r="K26" s="215"/>
      <c r="L26" s="215"/>
      <c r="M26" s="215"/>
      <c r="N26" s="215"/>
      <c r="O26" s="215"/>
      <c r="U26" s="215"/>
    </row>
    <row r="27" spans="1:21" s="4" customFormat="1" ht="66">
      <c r="A27" s="128" t="str">
        <f ca="1">OFFSET(PO!J$12,ROW(A27)-ROW($A$12),0)</f>
        <v>Serviço</v>
      </c>
      <c r="B27" s="130" t="str">
        <f ca="1">IF($A27=0,"",OFFSET(PO!K$12,ROW(B27)-ROW(B$12),0))</f>
        <v>1.3.2.</v>
      </c>
      <c r="C27" s="127" t="str">
        <f ca="1">IF(OFFSET(PO!N$12,ROW(C27)-ROW(C$12),0)=0,"",OFFSET(PO!N$12,ROW(C27)-ROW(C$12),0))</f>
        <v>ASSENTAMENTO DE GUIA (MEIO-FIO) EM TRECHO RETO, CONFECCIONADA EM CONCRETO PRÉ-FABRICADO, DIMENSÕES 100X15X13X30 CM (COMPRIMENTO X BASE INFERIOR X BASE SUPERIOR X ALTURA), PARA VIAS URBANAS (USO VIÁRIO). AF_06/2016</v>
      </c>
      <c r="D27" s="129" t="str">
        <f ca="1">IF(OFFSET(PO!O$12,ROW(D27)-ROW(D$12),0)=0,"",OFFSET(PO!O$12,ROW(D27)-ROW(D$12),0))</f>
        <v>M</v>
      </c>
      <c r="E27" s="165">
        <f ca="1">IF($A27&lt;&gt;"Serviço",0,ROUND(SUMIF($F$9:$P$9,"&lt;&gt;",$F27:$P27),15-13*PO!$X$3))</f>
        <v>246</v>
      </c>
      <c r="F27" s="215">
        <v>246</v>
      </c>
      <c r="G27" s="215"/>
      <c r="H27" s="215"/>
      <c r="I27" s="215"/>
      <c r="J27" s="215"/>
      <c r="K27" s="215"/>
      <c r="L27" s="215"/>
      <c r="M27" s="215"/>
      <c r="N27" s="215"/>
      <c r="O27" s="215"/>
      <c r="U27" s="215"/>
    </row>
    <row r="28" spans="1:21" s="4" customFormat="1" ht="26.4">
      <c r="A28" s="128" t="str">
        <f ca="1">OFFSET(PO!J$12,ROW(A28)-ROW($A$12),0)</f>
        <v>Serviço</v>
      </c>
      <c r="B28" s="130" t="str">
        <f ca="1">IF($A28=0,"",OFFSET(PO!K$12,ROW(B28)-ROW(B$12),0))</f>
        <v>1.3.3.</v>
      </c>
      <c r="C28" s="127" t="str">
        <f ca="1">IF(OFFSET(PO!N$12,ROW(C28)-ROW(C$12),0)=0,"",OFFSET(PO!N$12,ROW(C28)-ROW(C$12),0))</f>
        <v>REATERRO MANUAL DE VALAS COM COMPACTAÇÃO MECANIZADA. AF_04/2016</v>
      </c>
      <c r="D28" s="129" t="str">
        <f ca="1">IF(OFFSET(PO!O$12,ROW(D28)-ROW(D$12),0)=0,"",OFFSET(PO!O$12,ROW(D28)-ROW(D$12),0))</f>
        <v>M3</v>
      </c>
      <c r="E28" s="165">
        <f ca="1">IF($A28&lt;&gt;"Serviço",0,ROUND(SUMIF($F$9:$P$9,"&lt;&gt;",$F28:$P28),15-13*PO!$X$3))</f>
        <v>38.1</v>
      </c>
      <c r="F28" s="215">
        <v>38.1</v>
      </c>
      <c r="G28" s="215"/>
      <c r="H28" s="215"/>
      <c r="I28" s="215"/>
      <c r="J28" s="215"/>
      <c r="K28" s="215"/>
      <c r="L28" s="215"/>
      <c r="M28" s="215"/>
      <c r="N28" s="215"/>
      <c r="O28" s="215"/>
      <c r="U28" s="215"/>
    </row>
    <row r="29" spans="1:21" s="4" customFormat="1" ht="12.75">
      <c r="A29" s="128" t="str">
        <f ca="1">OFFSET(PO!J$12,ROW(A29)-ROW($A$12),0)</f>
        <v>Nível 2</v>
      </c>
      <c r="B29" s="130" t="str">
        <f ca="1">IF($A29=0,"",OFFSET(PO!K$12,ROW(B29)-ROW(B$12),0))</f>
        <v>1.4.</v>
      </c>
      <c r="C29" s="127" t="str">
        <f ca="1">IF(OFFSET(PO!N$12,ROW(C29)-ROW(C$12),0)=0,"",OFFSET(PO!N$12,ROW(C29)-ROW(C$12),0))</f>
        <v>Sinalização</v>
      </c>
      <c r="D29" s="129" t="str">
        <f ca="1">IF(OFFSET(PO!O$12,ROW(D29)-ROW(D$12),0)=0,"",OFFSET(PO!O$12,ROW(D29)-ROW(D$12),0))</f>
        <v/>
      </c>
      <c r="E29" s="165">
        <f ca="1">IF($A29&lt;&gt;"Serviço",0,ROUND(SUMIF($F$9:$P$9,"&lt;&gt;",$F29:$P29),15-13*PO!$X$3))</f>
        <v>0</v>
      </c>
      <c r="F29" s="215">
        <v>0</v>
      </c>
      <c r="G29" s="215"/>
      <c r="H29" s="215"/>
      <c r="I29" s="215"/>
      <c r="J29" s="215"/>
      <c r="K29" s="215"/>
      <c r="L29" s="215"/>
      <c r="M29" s="215"/>
      <c r="N29" s="215"/>
      <c r="O29" s="215"/>
      <c r="U29" s="215"/>
    </row>
    <row r="30" spans="1:21" s="4" customFormat="1" ht="26.4">
      <c r="A30" s="128" t="str">
        <f ca="1">OFFSET(PO!J$12,ROW(A30)-ROW($A$12),0)</f>
        <v>Serviço</v>
      </c>
      <c r="B30" s="130" t="str">
        <f ca="1">IF($A30=0,"",OFFSET(PO!K$12,ROW(B30)-ROW(B$12),0))</f>
        <v>1.4.1.</v>
      </c>
      <c r="C30" s="127" t="str">
        <f ca="1">IF(OFFSET(PO!N$12,ROW(C30)-ROW(C$12),0)=0,"",OFFSET(PO!N$12,ROW(C30)-ROW(C$12),0))</f>
        <v xml:space="preserve">Placa de sinalização retangular </v>
      </c>
      <c r="D30" s="129" t="str">
        <f ca="1">IF(OFFSET(PO!O$12,ROW(D30)-ROW(D$12),0)=0,"",OFFSET(PO!O$12,ROW(D30)-ROW(D$12),0))</f>
        <v>UNIDADE</v>
      </c>
      <c r="E30" s="165">
        <f ca="1">IF($A30&lt;&gt;"Serviço",0,ROUND(SUMIF($F$9:$P$9,"&lt;&gt;",$F30:$P30),15-13*PO!$X$3))</f>
        <v>1</v>
      </c>
      <c r="F30" s="215">
        <v>1</v>
      </c>
      <c r="G30" s="215"/>
      <c r="H30" s="215"/>
      <c r="I30" s="215"/>
      <c r="J30" s="215"/>
      <c r="K30" s="215"/>
      <c r="L30" s="215"/>
      <c r="M30" s="215"/>
      <c r="N30" s="215"/>
      <c r="O30" s="215"/>
      <c r="U30" s="215"/>
    </row>
    <row r="31" spans="1:21" s="4" customFormat="1" ht="12.75">
      <c r="A31" s="128" t="str">
        <f ca="1">OFFSET(PO!J$12,ROW(A31)-ROW($A$12),0)</f>
        <v>Meta</v>
      </c>
      <c r="B31" s="130" t="str">
        <f ca="1">IF($A31=0,"",OFFSET(PO!K$12,ROW(B31)-ROW(B$12),0))</f>
        <v>2.</v>
      </c>
      <c r="C31" s="127" t="str">
        <f ca="1">IF(OFFSET(PO!N$12,ROW(C31)-ROW(C$12),0)=0,"",OFFSET(PO!N$12,ROW(C31)-ROW(C$12),0))</f>
        <v>Trecho da Rua Aristóteles Borges</v>
      </c>
      <c r="D31" s="129" t="str">
        <f ca="1">IF(OFFSET(PO!O$12,ROW(D31)-ROW(D$12),0)=0,"",OFFSET(PO!O$12,ROW(D31)-ROW(D$12),0))</f>
        <v/>
      </c>
      <c r="E31" s="165">
        <f ca="1">IF($A31&lt;&gt;"Serviço",0,ROUND(SUMIF($F$9:$P$9,"&lt;&gt;",$F31:$P31),15-13*PO!$X$3))</f>
        <v>0</v>
      </c>
      <c r="F31" s="215"/>
      <c r="G31" s="215"/>
      <c r="H31" s="215"/>
      <c r="I31" s="215"/>
      <c r="J31" s="215"/>
      <c r="K31" s="215"/>
      <c r="L31" s="215"/>
      <c r="M31" s="215"/>
      <c r="N31" s="215"/>
      <c r="O31" s="215"/>
      <c r="U31" s="215"/>
    </row>
    <row r="32" spans="1:21" s="4" customFormat="1" ht="12.75">
      <c r="A32" s="128" t="str">
        <f ca="1">OFFSET(PO!J$12,ROW(A32)-ROW($A$12),0)</f>
        <v>Nível 2</v>
      </c>
      <c r="B32" s="130" t="str">
        <f ca="1">IF($A32=0,"",OFFSET(PO!K$12,ROW(B32)-ROW(B$12),0))</f>
        <v>2.1.</v>
      </c>
      <c r="C32" s="127" t="str">
        <f ca="1">IF(OFFSET(PO!N$12,ROW(C32)-ROW(C$12),0)=0,"",OFFSET(PO!N$12,ROW(C32)-ROW(C$12),0))</f>
        <v xml:space="preserve">Serviços Preliminares </v>
      </c>
      <c r="D32" s="129" t="str">
        <f ca="1">IF(OFFSET(PO!O$12,ROW(D32)-ROW(D$12),0)=0,"",OFFSET(PO!O$12,ROW(D32)-ROW(D$12),0))</f>
        <v/>
      </c>
      <c r="E32" s="165">
        <f ca="1">IF($A32&lt;&gt;"Serviço",0,ROUND(SUMIF($F$9:$P$9,"&lt;&gt;",$F32:$P32),15-13*PO!$X$3))</f>
        <v>0</v>
      </c>
      <c r="F32" s="215"/>
      <c r="G32" s="215"/>
      <c r="H32" s="215"/>
      <c r="I32" s="215"/>
      <c r="J32" s="215"/>
      <c r="K32" s="215"/>
      <c r="L32" s="215"/>
      <c r="M32" s="215"/>
      <c r="N32" s="215"/>
      <c r="O32" s="215"/>
      <c r="U32" s="215"/>
    </row>
    <row r="33" spans="1:21" s="4" customFormat="1" ht="26.4">
      <c r="A33" s="128" t="str">
        <f ca="1">OFFSET(PO!J$12,ROW(A33)-ROW($A$12),0)</f>
        <v>Serviço</v>
      </c>
      <c r="B33" s="130" t="str">
        <f ca="1">IF($A33=0,"",OFFSET(PO!K$12,ROW(B33)-ROW(B$12),0))</f>
        <v>2.1.1.</v>
      </c>
      <c r="C33" s="127" t="str">
        <f ca="1">IF(OFFSET(PO!N$12,ROW(C33)-ROW(C$12),0)=0,"",OFFSET(PO!N$12,ROW(C33)-ROW(C$12),0))</f>
        <v>REGULARIZAÇÃO DE SUPERFÍCIES COM MOTONIVELADORA. AF_11/2019</v>
      </c>
      <c r="D33" s="129" t="str">
        <f ca="1">IF(OFFSET(PO!O$12,ROW(D33)-ROW(D$12),0)=0,"",OFFSET(PO!O$12,ROW(D33)-ROW(D$12),0))</f>
        <v>M2</v>
      </c>
      <c r="E33" s="165">
        <f ca="1">IF($A33&lt;&gt;"Serviço",0,ROUND(SUMIF($F$9:$P$9,"&lt;&gt;",$F33:$P33),15-13*PO!$X$3))</f>
        <v>1353</v>
      </c>
      <c r="F33" s="215">
        <v>1353</v>
      </c>
      <c r="G33" s="215"/>
      <c r="H33" s="215"/>
      <c r="I33" s="215"/>
      <c r="J33" s="215"/>
      <c r="K33" s="215"/>
      <c r="L33" s="215"/>
      <c r="M33" s="215"/>
      <c r="N33" s="215"/>
      <c r="O33" s="215"/>
      <c r="U33" s="215"/>
    </row>
    <row r="34" spans="1:21" s="4" customFormat="1" ht="12.75">
      <c r="A34" s="128" t="str">
        <f ca="1">OFFSET(PO!J$12,ROW(A34)-ROW($A$12),0)</f>
        <v>Nível 2</v>
      </c>
      <c r="B34" s="130" t="str">
        <f ca="1">IF($A34=0,"",OFFSET(PO!K$12,ROW(B34)-ROW(B$12),0))</f>
        <v>2.2.</v>
      </c>
      <c r="C34" s="127" t="str">
        <f ca="1">IF(OFFSET(PO!N$12,ROW(C34)-ROW(C$12),0)=0,"",OFFSET(PO!N$12,ROW(C34)-ROW(C$12),0))</f>
        <v>Microdrenagem</v>
      </c>
      <c r="D34" s="129" t="str">
        <f ca="1">IF(OFFSET(PO!O$12,ROW(D34)-ROW(D$12),0)=0,"",OFFSET(PO!O$12,ROW(D34)-ROW(D$12),0))</f>
        <v/>
      </c>
      <c r="E34" s="165">
        <f ca="1">IF($A34&lt;&gt;"Serviço",0,ROUND(SUMIF($F$9:$P$9,"&lt;&gt;",$F34:$P34),15-13*PO!$X$3))</f>
        <v>0</v>
      </c>
      <c r="F34" s="215"/>
      <c r="G34" s="215"/>
      <c r="H34" s="215"/>
      <c r="I34" s="215"/>
      <c r="J34" s="215"/>
      <c r="K34" s="215"/>
      <c r="L34" s="215"/>
      <c r="M34" s="215"/>
      <c r="N34" s="215"/>
      <c r="O34" s="215"/>
      <c r="U34" s="215"/>
    </row>
    <row r="35" spans="1:21" s="4" customFormat="1" ht="66">
      <c r="A35" s="128" t="str">
        <f ca="1">OFFSET(PO!J$12,ROW(A35)-ROW($A$12),0)</f>
        <v>Serviço</v>
      </c>
      <c r="B35" s="130" t="str">
        <f ca="1">IF($A35=0,"",OFFSET(PO!K$12,ROW(B35)-ROW(B$12),0))</f>
        <v>2.2.1.</v>
      </c>
      <c r="C35" s="127" t="str">
        <f ca="1">IF(OFFSET(PO!N$12,ROW(C35)-ROW(C$12),0)=0,"",OFFSET(PO!N$12,ROW(C35)-ROW(C$12),0))</f>
        <v>ESCAVAÇÃO MECANIZADA DE VALA COM PROFUNDIDADE ATÉ 1,5 M (MÉDIA MONTANTE E JUSANTE/UMA COMPOSIÇÃO POR TRECHO), RETROESCAV. (0,26 M3), LARGURA DE 0,8 M A 1,5 M, EM SOLO DE 1A CATEGORIA, LOCAIS COM BAIXO NÍVEL DE INTERFERÊNCIA. AF_02/2021</v>
      </c>
      <c r="D35" s="129" t="str">
        <f ca="1">IF(OFFSET(PO!O$12,ROW(D35)-ROW(D$12),0)=0,"",OFFSET(PO!O$12,ROW(D35)-ROW(D$12),0))</f>
        <v>M3</v>
      </c>
      <c r="E35" s="165">
        <f ca="1">IF($A35&lt;&gt;"Serviço",0,ROUND(SUMIF($F$9:$P$9,"&lt;&gt;",$F35:$P35),15-13*PO!$X$3))</f>
        <v>14.47</v>
      </c>
      <c r="F35" s="215">
        <v>14.47</v>
      </c>
      <c r="G35" s="215"/>
      <c r="H35" s="215"/>
      <c r="I35" s="215"/>
      <c r="J35" s="215"/>
      <c r="K35" s="215"/>
      <c r="L35" s="215"/>
      <c r="M35" s="215"/>
      <c r="N35" s="215"/>
      <c r="O35" s="215"/>
      <c r="U35" s="215"/>
    </row>
    <row r="36" spans="1:21" s="4" customFormat="1" ht="26.4">
      <c r="A36" s="128" t="str">
        <f ca="1">OFFSET(PO!J$12,ROW(A36)-ROW($A$12),0)</f>
        <v>Serviço</v>
      </c>
      <c r="B36" s="130" t="str">
        <f ca="1">IF($A36=0,"",OFFSET(PO!K$12,ROW(B36)-ROW(B$12),0))</f>
        <v>2.2.2.</v>
      </c>
      <c r="C36" s="127" t="str">
        <f ca="1">IF(OFFSET(PO!N$12,ROW(C36)-ROW(C$12),0)=0,"",OFFSET(PO!N$12,ROW(C36)-ROW(C$12),0))</f>
        <v>PREPARO DE FUNDO DE VALA COM LARGURA MENOR QUE 1,5 M (ACERTO DO SOLO NATURAL). AF_08/2020</v>
      </c>
      <c r="D36" s="129" t="str">
        <f ca="1">IF(OFFSET(PO!O$12,ROW(D36)-ROW(D$12),0)=0,"",OFFSET(PO!O$12,ROW(D36)-ROW(D$12),0))</f>
        <v>M2</v>
      </c>
      <c r="E36" s="165">
        <f ca="1">IF($A36&lt;&gt;"Serviço",0,ROUND(SUMIF($F$9:$P$9,"&lt;&gt;",$F36:$P36),15-13*PO!$X$3))</f>
        <v>11.77</v>
      </c>
      <c r="F36" s="215">
        <v>11.77</v>
      </c>
      <c r="G36" s="215"/>
      <c r="H36" s="215"/>
      <c r="I36" s="215"/>
      <c r="J36" s="215"/>
      <c r="K36" s="215"/>
      <c r="L36" s="215"/>
      <c r="M36" s="215"/>
      <c r="N36" s="215"/>
      <c r="O36" s="215"/>
      <c r="U36" s="215"/>
    </row>
    <row r="37" spans="1:21" s="4" customFormat="1" ht="26.4">
      <c r="A37" s="128" t="str">
        <f ca="1">OFFSET(PO!J$12,ROW(A37)-ROW($A$12),0)</f>
        <v>Serviço</v>
      </c>
      <c r="B37" s="130" t="str">
        <f ca="1">IF($A37=0,"",OFFSET(PO!K$12,ROW(B37)-ROW(B$12),0))</f>
        <v>2.2.3.</v>
      </c>
      <c r="C37" s="127" t="str">
        <f ca="1">IF(OFFSET(PO!N$12,ROW(C37)-ROW(C$12),0)=0,"",OFFSET(PO!N$12,ROW(C37)-ROW(C$12),0))</f>
        <v xml:space="preserve">PEDRA BRITADA N. 1 (9,5 a 19 MM) POSTO PEDREIRA/FORNECEDOR, SEM FRETE                                                                                                                                                                                                                                                                                                                                                                                                                                     </v>
      </c>
      <c r="D37" s="129" t="str">
        <f ca="1">IF(OFFSET(PO!O$12,ROW(D37)-ROW(D$12),0)=0,"",OFFSET(PO!O$12,ROW(D37)-ROW(D$12),0))</f>
        <v xml:space="preserve">M3    </v>
      </c>
      <c r="E37" s="165">
        <f ca="1">IF($A37&lt;&gt;"Serviço",0,ROUND(SUMIF($F$9:$P$9,"&lt;&gt;",$F37:$P37),15-13*PO!$X$3))</f>
        <v>0.58</v>
      </c>
      <c r="F37" s="215">
        <v>0.58</v>
      </c>
      <c r="G37" s="215"/>
      <c r="H37" s="215"/>
      <c r="I37" s="215"/>
      <c r="J37" s="215"/>
      <c r="K37" s="215"/>
      <c r="L37" s="215"/>
      <c r="M37" s="215"/>
      <c r="N37" s="215"/>
      <c r="O37" s="215"/>
      <c r="U37" s="215"/>
    </row>
    <row r="38" spans="1:21" s="4" customFormat="1" ht="52.8">
      <c r="A38" s="128" t="str">
        <f ca="1">OFFSET(PO!J$12,ROW(A38)-ROW($A$12),0)</f>
        <v>Serviço</v>
      </c>
      <c r="B38" s="130" t="str">
        <f ca="1">IF($A38=0,"",OFFSET(PO!K$12,ROW(B38)-ROW(B$12),0))</f>
        <v>2.2.4.</v>
      </c>
      <c r="C38" s="127" t="str">
        <f ca="1">IF(OFFSET(PO!N$12,ROW(C38)-ROW(C$12),0)=0,"",OFFSET(PO!N$12,ROW(C38)-ROW(C$12),0))</f>
        <v>TUBO DE CONCRETO PARA REDES COLETORAS DE ÁGUAS PLUVIAIS, DIÂMETRO DE 400 MM, JUNTA RÍGIDA, INSTALADO EM LOCAL COM BAIXO NÍVEL DE INTERFERÊNCIAS - FORNECIMENTO E ASSENTAMENTO. AF_12/2015</v>
      </c>
      <c r="D38" s="129" t="str">
        <f ca="1">IF(OFFSET(PO!O$12,ROW(D38)-ROW(D$12),0)=0,"",OFFSET(PO!O$12,ROW(D38)-ROW(D$12),0))</f>
        <v>M</v>
      </c>
      <c r="E38" s="165">
        <f ca="1">IF($A38&lt;&gt;"Serviço",0,ROUND(SUMIF($F$9:$P$9,"&lt;&gt;",$F38:$P38),15-13*PO!$X$3))</f>
        <v>10.7</v>
      </c>
      <c r="F38" s="215">
        <v>10.7</v>
      </c>
      <c r="G38" s="215"/>
      <c r="H38" s="215"/>
      <c r="I38" s="215"/>
      <c r="J38" s="215"/>
      <c r="K38" s="215"/>
      <c r="L38" s="215"/>
      <c r="M38" s="215"/>
      <c r="N38" s="215"/>
      <c r="O38" s="215"/>
      <c r="U38" s="215"/>
    </row>
    <row r="39" spans="1:21" s="4" customFormat="1" ht="26.4">
      <c r="A39" s="128" t="str">
        <f ca="1">OFFSET(PO!J$12,ROW(A39)-ROW($A$12),0)</f>
        <v>Serviço</v>
      </c>
      <c r="B39" s="130" t="str">
        <f ca="1">IF($A39=0,"",OFFSET(PO!K$12,ROW(B39)-ROW(B$12),0))</f>
        <v>2.2.5.</v>
      </c>
      <c r="C39" s="127" t="str">
        <f ca="1">IF(OFFSET(PO!N$12,ROW(C39)-ROW(C$12),0)=0,"",OFFSET(PO!N$12,ROW(C39)-ROW(C$12),0))</f>
        <v>Caixa para boca de lobo em alvenaria de tijilo maciço. Dimensões internas: 0,80x0,80x1,20m</v>
      </c>
      <c r="D39" s="129" t="str">
        <f ca="1">IF(OFFSET(PO!O$12,ROW(D39)-ROW(D$12),0)=0,"",OFFSET(PO!O$12,ROW(D39)-ROW(D$12),0))</f>
        <v>UNIDADE</v>
      </c>
      <c r="E39" s="165">
        <f ca="1">IF($A39&lt;&gt;"Serviço",0,ROUND(SUMIF($F$9:$P$9,"&lt;&gt;",$F39:$P39),15-13*PO!$X$3))</f>
        <v>2</v>
      </c>
      <c r="F39" s="215">
        <v>2</v>
      </c>
      <c r="G39" s="215"/>
      <c r="H39" s="215"/>
      <c r="I39" s="215"/>
      <c r="J39" s="215"/>
      <c r="K39" s="215"/>
      <c r="L39" s="215"/>
      <c r="M39" s="215"/>
      <c r="N39" s="215"/>
      <c r="O39" s="215"/>
      <c r="U39" s="215"/>
    </row>
    <row r="40" spans="1:21" s="4" customFormat="1" ht="66">
      <c r="A40" s="128" t="str">
        <f ca="1">OFFSET(PO!J$12,ROW(A40)-ROW($A$12),0)</f>
        <v>Serviço</v>
      </c>
      <c r="B40" s="130" t="str">
        <f ca="1">IF($A40=0,"",OFFSET(PO!K$12,ROW(B40)-ROW(B$12),0))</f>
        <v>2.2.6.</v>
      </c>
      <c r="C40" s="127" t="str">
        <f ca="1">IF(OFFSET(PO!N$12,ROW(C40)-ROW(C$12),0)=0,"",OFFSET(PO!N$12,ROW(C40)-ROW(C$12),0))</f>
        <v>REATERRO MECANIZADO DE VALA COM RETROESCAVADEIRA (CAPACIDADE DA CAÇAMBA DA RETRO: 0,26 M³ / POTÊNCIA: 88 HP), LARGURA DE 0,8 A 1,5 M, PROFUNDIDADE ATÉ 1,5 M, COM SOLO DE 1ª CATEGORIA EM LOCAIS COM BAIXO NÍVEL DE INTERFERÊNCIA. AF_04/2016</v>
      </c>
      <c r="D40" s="129" t="str">
        <f ca="1">IF(OFFSET(PO!O$12,ROW(D40)-ROW(D$12),0)=0,"",OFFSET(PO!O$12,ROW(D40)-ROW(D$12),0))</f>
        <v>M3</v>
      </c>
      <c r="E40" s="165">
        <f ca="1">IF($A40&lt;&gt;"Serviço",0,ROUND(SUMIF($F$9:$P$9,"&lt;&gt;",$F40:$P40),15-13*PO!$X$3))</f>
        <v>7.06</v>
      </c>
      <c r="F40" s="215">
        <v>7.06</v>
      </c>
      <c r="G40" s="215"/>
      <c r="H40" s="215"/>
      <c r="I40" s="215"/>
      <c r="J40" s="215"/>
      <c r="K40" s="215"/>
      <c r="L40" s="215"/>
      <c r="M40" s="215"/>
      <c r="N40" s="215"/>
      <c r="O40" s="215"/>
      <c r="U40" s="215"/>
    </row>
    <row r="41" spans="1:21" s="4" customFormat="1" ht="12.75">
      <c r="A41" s="128" t="str">
        <f ca="1">OFFSET(PO!J$12,ROW(A41)-ROW($A$12),0)</f>
        <v>Nível 2</v>
      </c>
      <c r="B41" s="130" t="str">
        <f ca="1">IF($A41=0,"",OFFSET(PO!K$12,ROW(B41)-ROW(B$12),0))</f>
        <v>2.3.</v>
      </c>
      <c r="C41" s="127" t="str">
        <f ca="1">IF(OFFSET(PO!N$12,ROW(C41)-ROW(C$12),0)=0,"",OFFSET(PO!N$12,ROW(C41)-ROW(C$12),0))</f>
        <v>Pavimentação</v>
      </c>
      <c r="D41" s="129" t="str">
        <f ca="1">IF(OFFSET(PO!O$12,ROW(D41)-ROW(D$12),0)=0,"",OFFSET(PO!O$12,ROW(D41)-ROW(D$12),0))</f>
        <v/>
      </c>
      <c r="E41" s="165">
        <f ca="1">IF($A41&lt;&gt;"Serviço",0,ROUND(SUMIF($F$9:$P$9,"&lt;&gt;",$F41:$P41),15-13*PO!$X$3))</f>
        <v>0</v>
      </c>
      <c r="F41" s="215"/>
      <c r="G41" s="215"/>
      <c r="H41" s="215"/>
      <c r="I41" s="215"/>
      <c r="J41" s="215"/>
      <c r="K41" s="215"/>
      <c r="L41" s="215"/>
      <c r="M41" s="215"/>
      <c r="N41" s="215"/>
      <c r="O41" s="215"/>
      <c r="U41" s="215"/>
    </row>
    <row r="42" spans="1:21" s="4" customFormat="1" ht="26.4">
      <c r="A42" s="128" t="str">
        <f ca="1">OFFSET(PO!J$12,ROW(A42)-ROW($A$12),0)</f>
        <v>Serviço</v>
      </c>
      <c r="B42" s="130" t="str">
        <f ca="1">IF($A42=0,"",OFFSET(PO!K$12,ROW(B42)-ROW(B$12),0))</f>
        <v>2.3.1.</v>
      </c>
      <c r="C42" s="127" t="str">
        <f ca="1">IF(OFFSET(PO!N$12,ROW(C42)-ROW(C$12),0)=0,"",OFFSET(PO!N$12,ROW(C42)-ROW(C$12),0))</f>
        <v>Execução de via em piso intertravado, com bloco retangular cor natural de 20 x 10 cm, espessura 8 cm.</v>
      </c>
      <c r="D42" s="129" t="str">
        <f ca="1">IF(OFFSET(PO!O$12,ROW(D42)-ROW(D$12),0)=0,"",OFFSET(PO!O$12,ROW(D42)-ROW(D$12),0))</f>
        <v>m²</v>
      </c>
      <c r="E42" s="165">
        <f ca="1">IF($A42&lt;&gt;"Serviço",0,ROUND(SUMIF($F$9:$P$9,"&lt;&gt;",$F42:$P42),15-13*PO!$X$3))</f>
        <v>1316.1</v>
      </c>
      <c r="F42" s="215">
        <v>1316.1</v>
      </c>
      <c r="G42" s="215"/>
      <c r="H42" s="215"/>
      <c r="I42" s="215"/>
      <c r="J42" s="215"/>
      <c r="K42" s="215"/>
      <c r="L42" s="215"/>
      <c r="M42" s="215"/>
      <c r="N42" s="215"/>
      <c r="O42" s="215"/>
      <c r="U42" s="215"/>
    </row>
    <row r="43" spans="1:21" s="4" customFormat="1" ht="66">
      <c r="A43" s="128" t="str">
        <f ca="1">OFFSET(PO!J$12,ROW(A43)-ROW($A$12),0)</f>
        <v>Serviço</v>
      </c>
      <c r="B43" s="130" t="str">
        <f ca="1">IF($A43=0,"",OFFSET(PO!K$12,ROW(B43)-ROW(B$12),0))</f>
        <v>2.3.2.</v>
      </c>
      <c r="C43" s="127" t="str">
        <f ca="1">IF(OFFSET(PO!N$12,ROW(C43)-ROW(C$12),0)=0,"",OFFSET(PO!N$12,ROW(C43)-ROW(C$12),0))</f>
        <v>ASSENTAMENTO DE GUIA (MEIO-FIO) EM TRECHO RETO, CONFECCIONADA EM CONCRETO PRÉ-FABRICADO, DIMENSÕES 100X15X13X30 CM (COMPRIMENTO X BASE INFERIOR X BASE SUPERIOR X ALTURA), PARA VIAS URBANAS (USO VIÁRIO). AF_06/2016</v>
      </c>
      <c r="D43" s="129" t="str">
        <f ca="1">IF(OFFSET(PO!O$12,ROW(D43)-ROW(D$12),0)=0,"",OFFSET(PO!O$12,ROW(D43)-ROW(D$12),0))</f>
        <v>M</v>
      </c>
      <c r="E43" s="165">
        <f ca="1">IF($A43&lt;&gt;"Serviço",0,ROUND(SUMIF($F$9:$P$9,"&lt;&gt;",$F43:$P43),15-13*PO!$X$3))</f>
        <v>224</v>
      </c>
      <c r="F43" s="215">
        <v>224</v>
      </c>
      <c r="G43" s="215"/>
      <c r="H43" s="215"/>
      <c r="I43" s="215"/>
      <c r="J43" s="215"/>
      <c r="K43" s="215"/>
      <c r="L43" s="215"/>
      <c r="M43" s="215"/>
      <c r="N43" s="215"/>
      <c r="O43" s="215"/>
      <c r="U43" s="215"/>
    </row>
    <row r="44" spans="1:21" s="4" customFormat="1" ht="26.4">
      <c r="A44" s="128" t="str">
        <f ca="1">OFFSET(PO!J$12,ROW(A44)-ROW($A$12),0)</f>
        <v>Serviço</v>
      </c>
      <c r="B44" s="130" t="str">
        <f ca="1">IF($A44=0,"",OFFSET(PO!K$12,ROW(B44)-ROW(B$12),0))</f>
        <v>2.3.3.</v>
      </c>
      <c r="C44" s="127" t="str">
        <f ca="1">IF(OFFSET(PO!N$12,ROW(C44)-ROW(C$12),0)=0,"",OFFSET(PO!N$12,ROW(C44)-ROW(C$12),0))</f>
        <v>REATERRO MANUAL DE VALAS COM COMPACTAÇÃO MECANIZADA. AF_04/2016</v>
      </c>
      <c r="D44" s="129" t="str">
        <f ca="1">IF(OFFSET(PO!O$12,ROW(D44)-ROW(D$12),0)=0,"",OFFSET(PO!O$12,ROW(D44)-ROW(D$12),0))</f>
        <v>M3</v>
      </c>
      <c r="E44" s="165">
        <f ca="1">IF($A44&lt;&gt;"Serviço",0,ROUND(SUMIF($F$9:$P$9,"&lt;&gt;",$F44:$P44),15-13*PO!$X$3))</f>
        <v>36</v>
      </c>
      <c r="F44" s="215">
        <v>36</v>
      </c>
      <c r="G44" s="215"/>
      <c r="H44" s="215"/>
      <c r="I44" s="215"/>
      <c r="J44" s="215"/>
      <c r="K44" s="215"/>
      <c r="L44" s="215"/>
      <c r="M44" s="215"/>
      <c r="N44" s="215"/>
      <c r="O44" s="215"/>
      <c r="U44" s="215"/>
    </row>
    <row r="45" spans="1:21" s="4" customFormat="1" ht="12.75">
      <c r="A45" s="128" t="str">
        <f ca="1">OFFSET(PO!J$12,ROW(A45)-ROW($A$12),0)</f>
        <v>Nível 2</v>
      </c>
      <c r="B45" s="130" t="str">
        <f ca="1">IF($A45=0,"",OFFSET(PO!K$12,ROW(B45)-ROW(B$12),0))</f>
        <v>2.4.</v>
      </c>
      <c r="C45" s="127" t="str">
        <f ca="1">IF(OFFSET(PO!N$12,ROW(C45)-ROW(C$12),0)=0,"",OFFSET(PO!N$12,ROW(C45)-ROW(C$12),0))</f>
        <v>Sinalização</v>
      </c>
      <c r="D45" s="129" t="str">
        <f ca="1">IF(OFFSET(PO!O$12,ROW(D45)-ROW(D$12),0)=0,"",OFFSET(PO!O$12,ROW(D45)-ROW(D$12),0))</f>
        <v/>
      </c>
      <c r="E45" s="165">
        <f ca="1">IF($A45&lt;&gt;"Serviço",0,ROUND(SUMIF($F$9:$P$9,"&lt;&gt;",$F45:$P45),15-13*PO!$X$3))</f>
        <v>0</v>
      </c>
      <c r="F45" s="215"/>
      <c r="G45" s="215"/>
      <c r="H45" s="215"/>
      <c r="I45" s="215"/>
      <c r="J45" s="215"/>
      <c r="K45" s="215"/>
      <c r="L45" s="215"/>
      <c r="M45" s="215"/>
      <c r="N45" s="215"/>
      <c r="O45" s="215"/>
      <c r="U45" s="215"/>
    </row>
    <row r="46" spans="1:21" s="4" customFormat="1" ht="26.4">
      <c r="A46" s="128" t="str">
        <f ca="1">OFFSET(PO!J$12,ROW(A46)-ROW($A$12),0)</f>
        <v>Serviço</v>
      </c>
      <c r="B46" s="130" t="str">
        <f ca="1">IF($A46=0,"",OFFSET(PO!K$12,ROW(B46)-ROW(B$12),0))</f>
        <v>2.4.1.</v>
      </c>
      <c r="C46" s="127" t="str">
        <f ca="1">IF(OFFSET(PO!N$12,ROW(C46)-ROW(C$12),0)=0,"",OFFSET(PO!N$12,ROW(C46)-ROW(C$12),0))</f>
        <v xml:space="preserve">Placa de sinalização retangular </v>
      </c>
      <c r="D46" s="129" t="str">
        <f ca="1">IF(OFFSET(PO!O$12,ROW(D46)-ROW(D$12),0)=0,"",OFFSET(PO!O$12,ROW(D46)-ROW(D$12),0))</f>
        <v>UNIDADE</v>
      </c>
      <c r="E46" s="165">
        <f ca="1">IF($A46&lt;&gt;"Serviço",0,ROUND(SUMIF($F$9:$P$9,"&lt;&gt;",$F46:$P46),15-13*PO!$X$3))</f>
        <v>1</v>
      </c>
      <c r="F46" s="215">
        <v>1</v>
      </c>
      <c r="G46" s="215"/>
      <c r="H46" s="215"/>
      <c r="I46" s="215"/>
      <c r="J46" s="215"/>
      <c r="K46" s="215"/>
      <c r="L46" s="215"/>
      <c r="M46" s="215"/>
      <c r="N46" s="215"/>
      <c r="O46" s="215"/>
      <c r="U46" s="215"/>
    </row>
    <row r="47" spans="1:21" s="4" customFormat="1" ht="12.75">
      <c r="A47" s="128" t="str">
        <f ca="1">OFFSET(PO!J$12,ROW(A47)-ROW($A$12),0)</f>
        <v>Meta</v>
      </c>
      <c r="B47" s="130" t="str">
        <f ca="1">IF($A47=0,"",OFFSET(PO!K$12,ROW(B47)-ROW(B$12),0))</f>
        <v>3.</v>
      </c>
      <c r="C47" s="127" t="str">
        <f ca="1">IF(OFFSET(PO!N$12,ROW(C47)-ROW(C$12),0)=0,"",OFFSET(PO!N$12,ROW(C47)-ROW(C$12),0))</f>
        <v>Techo Rua Natal Taffarel</v>
      </c>
      <c r="D47" s="129" t="str">
        <f ca="1">IF(OFFSET(PO!O$12,ROW(D47)-ROW(D$12),0)=0,"",OFFSET(PO!O$12,ROW(D47)-ROW(D$12),0))</f>
        <v/>
      </c>
      <c r="E47" s="165">
        <f ca="1">IF($A47&lt;&gt;"Serviço",0,ROUND(SUMIF($F$9:$P$9,"&lt;&gt;",$F47:$P47),15-13*PO!$X$3))</f>
        <v>0</v>
      </c>
      <c r="F47" s="215"/>
      <c r="G47" s="215"/>
      <c r="H47" s="215"/>
      <c r="I47" s="215"/>
      <c r="J47" s="215"/>
      <c r="K47" s="215"/>
      <c r="L47" s="215"/>
      <c r="M47" s="215"/>
      <c r="N47" s="215"/>
      <c r="O47" s="215"/>
      <c r="U47" s="215"/>
    </row>
    <row r="48" spans="1:21" s="4" customFormat="1" ht="12.75">
      <c r="A48" s="128" t="str">
        <f ca="1">OFFSET(PO!J$12,ROW(A48)-ROW($A$12),0)</f>
        <v>Nível 2</v>
      </c>
      <c r="B48" s="130" t="str">
        <f ca="1">IF($A48=0,"",OFFSET(PO!K$12,ROW(B48)-ROW(B$12),0))</f>
        <v>3.1.</v>
      </c>
      <c r="C48" s="127" t="str">
        <f ca="1">IF(OFFSET(PO!N$12,ROW(C48)-ROW(C$12),0)=0,"",OFFSET(PO!N$12,ROW(C48)-ROW(C$12),0))</f>
        <v xml:space="preserve">Serviços Preliminares </v>
      </c>
      <c r="D48" s="129" t="str">
        <f ca="1">IF(OFFSET(PO!O$12,ROW(D48)-ROW(D$12),0)=0,"",OFFSET(PO!O$12,ROW(D48)-ROW(D$12),0))</f>
        <v/>
      </c>
      <c r="E48" s="165">
        <f ca="1">IF($A48&lt;&gt;"Serviço",0,ROUND(SUMIF($F$9:$P$9,"&lt;&gt;",$F48:$P48),15-13*PO!$X$3))</f>
        <v>0</v>
      </c>
      <c r="F48" s="215"/>
      <c r="G48" s="215"/>
      <c r="H48" s="215"/>
      <c r="I48" s="215"/>
      <c r="J48" s="215"/>
      <c r="K48" s="215"/>
      <c r="L48" s="215"/>
      <c r="M48" s="215"/>
      <c r="N48" s="215"/>
      <c r="O48" s="215"/>
      <c r="U48" s="215"/>
    </row>
    <row r="49" spans="1:21" s="4" customFormat="1" ht="26.4">
      <c r="A49" s="128" t="str">
        <f ca="1">OFFSET(PO!J$12,ROW(A49)-ROW($A$12),0)</f>
        <v>Serviço</v>
      </c>
      <c r="B49" s="130" t="str">
        <f ca="1">IF($A49=0,"",OFFSET(PO!K$12,ROW(B49)-ROW(B$12),0))</f>
        <v>3.1.1.</v>
      </c>
      <c r="C49" s="127" t="str">
        <f ca="1">IF(OFFSET(PO!N$12,ROW(C49)-ROW(C$12),0)=0,"",OFFSET(PO!N$12,ROW(C49)-ROW(C$12),0))</f>
        <v>REGULARIZAÇÃO DE SUPERFÍCIES COM MOTONIVELADORA. AF_11/2019</v>
      </c>
      <c r="D49" s="129" t="str">
        <f ca="1">IF(OFFSET(PO!O$12,ROW(D49)-ROW(D$12),0)=0,"",OFFSET(PO!O$12,ROW(D49)-ROW(D$12),0))</f>
        <v>M2</v>
      </c>
      <c r="E49" s="165">
        <f ca="1">IF($A49&lt;&gt;"Serviço",0,ROUND(SUMIF($F$9:$P$9,"&lt;&gt;",$F49:$P49),15-13*PO!$X$3))</f>
        <v>1045</v>
      </c>
      <c r="F49" s="215">
        <v>1045</v>
      </c>
      <c r="G49" s="215"/>
      <c r="H49" s="215"/>
      <c r="I49" s="215"/>
      <c r="J49" s="215"/>
      <c r="K49" s="215"/>
      <c r="L49" s="215"/>
      <c r="M49" s="215"/>
      <c r="N49" s="215"/>
      <c r="O49" s="215"/>
      <c r="U49" s="215"/>
    </row>
    <row r="50" spans="1:21" s="4" customFormat="1" ht="39.6">
      <c r="A50" s="128" t="str">
        <f ca="1">OFFSET(PO!J$12,ROW(A50)-ROW($A$12),0)</f>
        <v>Serviço</v>
      </c>
      <c r="B50" s="130" t="str">
        <f ca="1">IF($A50=0,"",OFFSET(PO!K$12,ROW(B50)-ROW(B$12),0))</f>
        <v>3.1.2.</v>
      </c>
      <c r="C50" s="127" t="str">
        <f ca="1">IF(OFFSET(PO!N$12,ROW(C50)-ROW(C$12),0)=0,"",OFFSET(PO!N$12,ROW(C50)-ROW(C$12),0))</f>
        <v>DESMONTE DE MATERIAL DE 3ª CATEGORIA (BLOCOS DE ROCHAS OU MATACOS), COM MARTELETE PNEUMÁTICO MANUAL  EXCLUSIVE CARGA E TRANSPORTE. AF_03/2021</v>
      </c>
      <c r="D50" s="129" t="str">
        <f ca="1">IF(OFFSET(PO!O$12,ROW(D50)-ROW(D$12),0)=0,"",OFFSET(PO!O$12,ROW(D50)-ROW(D$12),0))</f>
        <v>M3</v>
      </c>
      <c r="E50" s="165">
        <f ca="1">IF($A50&lt;&gt;"Serviço",0,ROUND(SUMIF($F$9:$P$9,"&lt;&gt;",$F50:$P50),15-13*PO!$X$3))</f>
        <v>3.6</v>
      </c>
      <c r="F50" s="215">
        <v>3.6</v>
      </c>
      <c r="G50" s="215"/>
      <c r="H50" s="215"/>
      <c r="I50" s="215"/>
      <c r="J50" s="215"/>
      <c r="K50" s="215"/>
      <c r="L50" s="215"/>
      <c r="M50" s="215"/>
      <c r="N50" s="215"/>
      <c r="O50" s="215"/>
      <c r="U50" s="215"/>
    </row>
    <row r="51" spans="1:21" s="4" customFormat="1" ht="12.75">
      <c r="A51" s="128" t="str">
        <f ca="1">OFFSET(PO!J$12,ROW(A51)-ROW($A$12),0)</f>
        <v>Nível 2</v>
      </c>
      <c r="B51" s="130" t="str">
        <f ca="1">IF($A51=0,"",OFFSET(PO!K$12,ROW(B51)-ROW(B$12),0))</f>
        <v>3.2.</v>
      </c>
      <c r="C51" s="127" t="str">
        <f ca="1">IF(OFFSET(PO!N$12,ROW(C51)-ROW(C$12),0)=0,"",OFFSET(PO!N$12,ROW(C51)-ROW(C$12),0))</f>
        <v>Pavimentação</v>
      </c>
      <c r="D51" s="129" t="str">
        <f ca="1">IF(OFFSET(PO!O$12,ROW(D51)-ROW(D$12),0)=0,"",OFFSET(PO!O$12,ROW(D51)-ROW(D$12),0))</f>
        <v/>
      </c>
      <c r="E51" s="165">
        <f ca="1">IF($A51&lt;&gt;"Serviço",0,ROUND(SUMIF($F$9:$P$9,"&lt;&gt;",$F51:$P51),15-13*PO!$X$3))</f>
        <v>0</v>
      </c>
      <c r="F51" s="215"/>
      <c r="G51" s="215"/>
      <c r="H51" s="215"/>
      <c r="I51" s="215"/>
      <c r="J51" s="215"/>
      <c r="K51" s="215"/>
      <c r="L51" s="215"/>
      <c r="M51" s="215"/>
      <c r="N51" s="215"/>
      <c r="O51" s="215"/>
      <c r="U51" s="215"/>
    </row>
    <row r="52" spans="1:21" s="4" customFormat="1" ht="26.4">
      <c r="A52" s="128" t="str">
        <f ca="1">OFFSET(PO!J$12,ROW(A52)-ROW($A$12),0)</f>
        <v>Serviço</v>
      </c>
      <c r="B52" s="130" t="str">
        <f ca="1">IF($A52=0,"",OFFSET(PO!K$12,ROW(B52)-ROW(B$12),0))</f>
        <v>3.2.1.</v>
      </c>
      <c r="C52" s="127" t="str">
        <f ca="1">IF(OFFSET(PO!N$12,ROW(C52)-ROW(C$12),0)=0,"",OFFSET(PO!N$12,ROW(C52)-ROW(C$12),0))</f>
        <v>Execução de via em piso intertravado, com bloco retangular cor natural de 20 x 10 cm, espessura 8 cm.</v>
      </c>
      <c r="D52" s="129" t="str">
        <f ca="1">IF(OFFSET(PO!O$12,ROW(D52)-ROW(D$12),0)=0,"",OFFSET(PO!O$12,ROW(D52)-ROW(D$12),0))</f>
        <v>m²</v>
      </c>
      <c r="E52" s="165">
        <f ca="1">IF($A52&lt;&gt;"Serviço",0,ROUND(SUMIF($F$9:$P$9,"&lt;&gt;",$F52:$P52),15-13*PO!$X$3))</f>
        <v>1016.5</v>
      </c>
      <c r="F52" s="215">
        <v>1016.5</v>
      </c>
      <c r="G52" s="215"/>
      <c r="H52" s="215"/>
      <c r="I52" s="215"/>
      <c r="J52" s="215"/>
      <c r="K52" s="215"/>
      <c r="L52" s="215"/>
      <c r="M52" s="215"/>
      <c r="N52" s="215"/>
      <c r="O52" s="215"/>
      <c r="U52" s="215"/>
    </row>
    <row r="53" spans="1:21" s="4" customFormat="1" ht="66">
      <c r="A53" s="128" t="str">
        <f ca="1">OFFSET(PO!J$12,ROW(A53)-ROW($A$12),0)</f>
        <v>Serviço</v>
      </c>
      <c r="B53" s="130" t="str">
        <f ca="1">IF($A53=0,"",OFFSET(PO!K$12,ROW(B53)-ROW(B$12),0))</f>
        <v>3.2.2.</v>
      </c>
      <c r="C53" s="127" t="str">
        <f ca="1">IF(OFFSET(PO!N$12,ROW(C53)-ROW(C$12),0)=0,"",OFFSET(PO!N$12,ROW(C53)-ROW(C$12),0))</f>
        <v>ASSENTAMENTO DE GUIA (MEIO-FIO) EM TRECHO RETO, CONFECCIONADA EM CONCRETO PRÉ-FABRICADO, DIMENSÕES 100X15X13X30 CM (COMPRIMENTO X BASE INFERIOR X BASE SUPERIOR X ALTURA), PARA VIAS URBANAS (USO VIÁRIO). AF_06/2016</v>
      </c>
      <c r="D53" s="129" t="str">
        <f ca="1">IF(OFFSET(PO!O$12,ROW(D53)-ROW(D$12),0)=0,"",OFFSET(PO!O$12,ROW(D53)-ROW(D$12),0))</f>
        <v>M</v>
      </c>
      <c r="E53" s="165">
        <f ca="1">IF($A53&lt;&gt;"Serviço",0,ROUND(SUMIF($F$9:$P$9,"&lt;&gt;",$F53:$P53),15-13*PO!$X$3))</f>
        <v>190</v>
      </c>
      <c r="F53" s="215">
        <v>190</v>
      </c>
      <c r="G53" s="215"/>
      <c r="H53" s="215"/>
      <c r="I53" s="215"/>
      <c r="J53" s="215"/>
      <c r="K53" s="215"/>
      <c r="L53" s="215"/>
      <c r="M53" s="215"/>
      <c r="N53" s="215"/>
      <c r="O53" s="215"/>
      <c r="U53" s="215"/>
    </row>
    <row r="54" spans="1:21" s="4" customFormat="1" ht="26.4">
      <c r="A54" s="128" t="str">
        <f ca="1">OFFSET(PO!J$12,ROW(A54)-ROW($A$12),0)</f>
        <v>Serviço</v>
      </c>
      <c r="B54" s="130" t="str">
        <f ca="1">IF($A54=0,"",OFFSET(PO!K$12,ROW(B54)-ROW(B$12),0))</f>
        <v>3.2.3.</v>
      </c>
      <c r="C54" s="127" t="str">
        <f ca="1">IF(OFFSET(PO!N$12,ROW(C54)-ROW(C$12),0)=0,"",OFFSET(PO!N$12,ROW(C54)-ROW(C$12),0))</f>
        <v>REATERRO MANUAL DE VALAS COM COMPACTAÇÃO MECANIZADA. AF_04/2016</v>
      </c>
      <c r="D54" s="129" t="str">
        <f ca="1">IF(OFFSET(PO!O$12,ROW(D54)-ROW(D$12),0)=0,"",OFFSET(PO!O$12,ROW(D54)-ROW(D$12),0))</f>
        <v>M3</v>
      </c>
      <c r="E54" s="165">
        <f ca="1">IF($A54&lt;&gt;"Serviço",0,ROUND(SUMIF($F$9:$P$9,"&lt;&gt;",$F54:$P54),15-13*PO!$X$3))</f>
        <v>28.5</v>
      </c>
      <c r="F54" s="215">
        <v>28.5</v>
      </c>
      <c r="G54" s="215"/>
      <c r="H54" s="215"/>
      <c r="I54" s="215"/>
      <c r="J54" s="215"/>
      <c r="K54" s="215"/>
      <c r="L54" s="215"/>
      <c r="M54" s="215"/>
      <c r="N54" s="215"/>
      <c r="O54" s="215"/>
      <c r="U54" s="215"/>
    </row>
    <row r="55" spans="1:21" s="4" customFormat="1" ht="12.75">
      <c r="A55" s="128" t="str">
        <f ca="1">OFFSET(PO!J$12,ROW(A55)-ROW($A$12),0)</f>
        <v>Nível 2</v>
      </c>
      <c r="B55" s="130" t="str">
        <f ca="1">IF($A55=0,"",OFFSET(PO!K$12,ROW(B55)-ROW(B$12),0))</f>
        <v>3.3.</v>
      </c>
      <c r="C55" s="127" t="str">
        <f ca="1">IF(OFFSET(PO!N$12,ROW(C55)-ROW(C$12),0)=0,"",OFFSET(PO!N$12,ROW(C55)-ROW(C$12),0))</f>
        <v>Sinalização</v>
      </c>
      <c r="D55" s="129" t="str">
        <f ca="1">IF(OFFSET(PO!O$12,ROW(D55)-ROW(D$12),0)=0,"",OFFSET(PO!O$12,ROW(D55)-ROW(D$12),0))</f>
        <v/>
      </c>
      <c r="E55" s="165">
        <f ca="1">IF($A55&lt;&gt;"Serviço",0,ROUND(SUMIF($F$9:$P$9,"&lt;&gt;",$F55:$P55),15-13*PO!$X$3))</f>
        <v>0</v>
      </c>
      <c r="F55" s="215"/>
      <c r="G55" s="215"/>
      <c r="H55" s="215"/>
      <c r="I55" s="215"/>
      <c r="J55" s="215"/>
      <c r="K55" s="215"/>
      <c r="L55" s="215"/>
      <c r="M55" s="215"/>
      <c r="N55" s="215"/>
      <c r="O55" s="215"/>
      <c r="U55" s="215"/>
    </row>
    <row r="56" spans="1:21" s="4" customFormat="1" ht="26.4">
      <c r="A56" s="128" t="str">
        <f ca="1">OFFSET(PO!J$12,ROW(A56)-ROW($A$12),0)</f>
        <v>Serviço</v>
      </c>
      <c r="B56" s="130" t="str">
        <f ca="1">IF($A56=0,"",OFFSET(PO!K$12,ROW(B56)-ROW(B$12),0))</f>
        <v>3.3.1.</v>
      </c>
      <c r="C56" s="127" t="str">
        <f ca="1">IF(OFFSET(PO!N$12,ROW(C56)-ROW(C$12),0)=0,"",OFFSET(PO!N$12,ROW(C56)-ROW(C$12),0))</f>
        <v xml:space="preserve">Placa de sinalização retangular </v>
      </c>
      <c r="D56" s="129" t="str">
        <f ca="1">IF(OFFSET(PO!O$12,ROW(D56)-ROW(D$12),0)=0,"",OFFSET(PO!O$12,ROW(D56)-ROW(D$12),0))</f>
        <v>UNIDADE</v>
      </c>
      <c r="E56" s="165">
        <f ca="1">IF($A56&lt;&gt;"Serviço",0,ROUND(SUMIF($F$9:$P$9,"&lt;&gt;",$F56:$P56),15-13*PO!$X$3))</f>
        <v>1</v>
      </c>
      <c r="F56" s="215">
        <v>1</v>
      </c>
      <c r="G56" s="215"/>
      <c r="H56" s="215"/>
      <c r="I56" s="215"/>
      <c r="J56" s="215"/>
      <c r="K56" s="215"/>
      <c r="L56" s="215"/>
      <c r="M56" s="215"/>
      <c r="N56" s="215"/>
      <c r="O56" s="215"/>
      <c r="U56" s="215"/>
    </row>
    <row r="57" spans="1:21" s="4" customFormat="1" ht="12.75">
      <c r="A57" s="83"/>
      <c r="B57" s="83"/>
      <c r="C57" s="83"/>
      <c r="D57" s="83"/>
      <c r="E57" s="83"/>
      <c r="F57" s="83"/>
      <c r="G57" s="83"/>
      <c r="H57" s="83"/>
      <c r="I57" s="83"/>
      <c r="J57" s="83"/>
      <c r="K57" s="83"/>
      <c r="L57" s="83"/>
      <c r="M57" s="83"/>
      <c r="N57" s="83"/>
      <c r="O57" s="83"/>
      <c r="U57" s="83"/>
    </row>
    <row r="58" spans="2:21" s="4" customFormat="1" ht="12.75">
      <c r="B58" s="9"/>
      <c r="C58" s="14"/>
      <c r="D58" s="9"/>
      <c r="E58" s="16"/>
      <c r="F58" s="16"/>
      <c r="G58" s="16"/>
      <c r="H58" s="16"/>
      <c r="I58" s="16"/>
      <c r="J58" s="16"/>
      <c r="K58" s="16"/>
      <c r="L58" s="16"/>
      <c r="M58" s="16"/>
      <c r="N58" s="16"/>
      <c r="O58" s="16"/>
      <c r="U58" s="16"/>
    </row>
    <row r="59" spans="2:21" s="4" customFormat="1" ht="12.75">
      <c r="B59" s="369" t="str">
        <f>PO!$K$68</f>
        <v>Fontoura Xavier /RS</v>
      </c>
      <c r="C59" s="369"/>
      <c r="D59" s="9"/>
      <c r="E59" s="16"/>
      <c r="F59" s="16"/>
      <c r="G59" s="16"/>
      <c r="H59" s="16"/>
      <c r="I59" s="16"/>
      <c r="J59" s="16"/>
      <c r="K59" s="16"/>
      <c r="L59" s="16"/>
      <c r="M59" s="16"/>
      <c r="N59" s="16"/>
      <c r="O59" s="16"/>
      <c r="U59" s="16"/>
    </row>
    <row r="60" spans="2:21" s="4" customFormat="1" ht="12.75">
      <c r="B60" s="113" t="s">
        <v>120</v>
      </c>
      <c r="C60" s="14"/>
      <c r="D60" s="9"/>
      <c r="E60" s="16"/>
      <c r="F60" s="16"/>
      <c r="G60" s="16"/>
      <c r="H60" s="16"/>
      <c r="I60" s="16"/>
      <c r="J60" s="16"/>
      <c r="K60" s="16"/>
      <c r="L60" s="16"/>
      <c r="M60" s="16"/>
      <c r="N60" s="16"/>
      <c r="O60" s="16"/>
      <c r="U60" s="16"/>
    </row>
    <row r="61" spans="2:21" s="4" customFormat="1" ht="12.75">
      <c r="B61" s="14"/>
      <c r="C61" s="14"/>
      <c r="D61" s="9"/>
      <c r="E61" s="16"/>
      <c r="F61" s="16"/>
      <c r="G61" s="16"/>
      <c r="H61" s="16"/>
      <c r="I61" s="16"/>
      <c r="J61" s="16"/>
      <c r="K61" s="16"/>
      <c r="L61" s="16"/>
      <c r="M61" s="16"/>
      <c r="N61" s="16"/>
      <c r="O61" s="16"/>
      <c r="U61" s="16"/>
    </row>
    <row r="62" spans="2:21" s="4" customFormat="1" ht="12.75">
      <c r="B62" s="370">
        <f ca="1">PO!$K$71</f>
        <v>45093</v>
      </c>
      <c r="C62" s="370"/>
      <c r="D62" s="9"/>
      <c r="E62" s="16"/>
      <c r="F62" s="16"/>
      <c r="G62" s="16"/>
      <c r="H62" s="16"/>
      <c r="I62" s="16"/>
      <c r="J62" s="16"/>
      <c r="K62" s="16"/>
      <c r="L62" s="16"/>
      <c r="M62" s="16"/>
      <c r="N62" s="16"/>
      <c r="O62" s="16"/>
      <c r="U62" s="16"/>
    </row>
    <row r="63" spans="2:21" s="4" customFormat="1" ht="12.75">
      <c r="B63" s="142" t="s">
        <v>121</v>
      </c>
      <c r="C63" s="143"/>
      <c r="D63" s="9"/>
      <c r="E63" s="16"/>
      <c r="F63" s="16"/>
      <c r="G63" s="16"/>
      <c r="H63" s="16"/>
      <c r="I63" s="16"/>
      <c r="J63" s="16"/>
      <c r="K63" s="16"/>
      <c r="L63" s="16"/>
      <c r="M63" s="16"/>
      <c r="N63" s="16"/>
      <c r="O63" s="16"/>
      <c r="U63" s="16"/>
    </row>
  </sheetData>
  <sheetProtection algorithmName="SHA-512" hashValue="25XNLmC7QpsGXWTXNCYOFPdpTmgUdWuTSixnG1UABZvU+8MVgGW+xwGVaXAXfgp+qjmds15y95EIS2RvAa6Bvw==" saltValue="FkCzwD00wV5nnm10s2VNyA==" spinCount="100000" sheet="1" objects="1" scenarios="1"/>
  <mergeCells count="2">
    <mergeCell ref="B59:C59"/>
    <mergeCell ref="B62:C62"/>
  </mergeCells>
  <conditionalFormatting sqref="D11:E11 D13:E17 D24:E25 D31:E43 D51:E53 D55:E56 D45:E49 D29:E29">
    <cfRule type="expression" priority="1340" dxfId="107" stopIfTrue="1">
      <formula>$A11="Meta"</formula>
    </cfRule>
    <cfRule type="expression" priority="1341" dxfId="106" stopIfTrue="1">
      <formula>$A11&lt;&gt;"Serviço"</formula>
    </cfRule>
  </conditionalFormatting>
  <conditionalFormatting sqref="C11 C13:C17 C24:C25 C31:C43 C51:C53 C55:C56 C45:C49 C29">
    <cfRule type="expression" priority="1342" dxfId="103" stopIfTrue="1">
      <formula>$A11="Meta"</formula>
    </cfRule>
    <cfRule type="expression" priority="1343" dxfId="102" stopIfTrue="1">
      <formula>$A11&lt;&gt;"Serviço"</formula>
    </cfRule>
  </conditionalFormatting>
  <conditionalFormatting sqref="A11:B11 A13:B17 A24:B25 A31:B43 A51:B53 A55:B56 A45:B49 A29:B29">
    <cfRule type="expression" priority="1344" dxfId="103" stopIfTrue="1">
      <formula>$A11="Meta"</formula>
    </cfRule>
    <cfRule type="expression" priority="1345" dxfId="102" stopIfTrue="1">
      <formula>LEFT($A11,5)="Nível"</formula>
    </cfRule>
    <cfRule type="expression" priority="1346" dxfId="101" stopIfTrue="1">
      <formula>$A11=0</formula>
    </cfRule>
  </conditionalFormatting>
  <conditionalFormatting sqref="U11 U13:U27 F13:O27 U29:U56 F29:O56">
    <cfRule type="expression" priority="1356" dxfId="107" stopIfTrue="1">
      <formula>$A11="Meta"</formula>
    </cfRule>
    <cfRule type="expression" priority="1357" dxfId="101" stopIfTrue="1">
      <formula>OR(F$9=0,$A11&lt;&gt;"Serviço")</formula>
    </cfRule>
    <cfRule type="expression" priority="1358" dxfId="115" stopIfTrue="1">
      <formula>TipoOrçamento="Licitado"</formula>
    </cfRule>
  </conditionalFormatting>
  <conditionalFormatting sqref="U9">
    <cfRule type="expression" priority="778" dxfId="101" stopIfTrue="1">
      <formula>AND(T9=0,U9=0)</formula>
    </cfRule>
    <cfRule type="expression" priority="779" dxfId="115" stopIfTrue="1">
      <formula>TipoOrçamento="Licitado"</formula>
    </cfRule>
  </conditionalFormatting>
  <conditionalFormatting sqref="F11:O11">
    <cfRule type="expression" priority="738" dxfId="107" stopIfTrue="1">
      <formula>$A11="Meta"</formula>
    </cfRule>
    <cfRule type="expression" priority="739" dxfId="101" stopIfTrue="1">
      <formula>OR(F$9=0,$A11&lt;&gt;"Serviço")</formula>
    </cfRule>
    <cfRule type="expression" priority="740" dxfId="115" stopIfTrue="1">
      <formula>TipoOrçamento="Licitado"</formula>
    </cfRule>
  </conditionalFormatting>
  <conditionalFormatting sqref="F9:O9">
    <cfRule type="expression" priority="736" dxfId="101" stopIfTrue="1">
      <formula>AND(E9=0,F9=0)</formula>
    </cfRule>
    <cfRule type="expression" priority="737" dxfId="115" stopIfTrue="1">
      <formula>TipoOrçamento="Licitado"</formula>
    </cfRule>
  </conditionalFormatting>
  <conditionalFormatting sqref="D18:E21">
    <cfRule type="expression" priority="342" dxfId="107" stopIfTrue="1">
      <formula>$A18="Meta"</formula>
    </cfRule>
    <cfRule type="expression" priority="343" dxfId="106" stopIfTrue="1">
      <formula>$A18&lt;&gt;"Serviço"</formula>
    </cfRule>
  </conditionalFormatting>
  <conditionalFormatting sqref="C18:C21">
    <cfRule type="expression" priority="344" dxfId="103" stopIfTrue="1">
      <formula>$A18="Meta"</formula>
    </cfRule>
    <cfRule type="expression" priority="345" dxfId="102" stopIfTrue="1">
      <formula>$A18&lt;&gt;"Serviço"</formula>
    </cfRule>
  </conditionalFormatting>
  <conditionalFormatting sqref="A18:B21">
    <cfRule type="expression" priority="346" dxfId="103" stopIfTrue="1">
      <formula>$A18="Meta"</formula>
    </cfRule>
    <cfRule type="expression" priority="347" dxfId="102" stopIfTrue="1">
      <formula>LEFT($A18,5)="Nível"</formula>
    </cfRule>
    <cfRule type="expression" priority="348" dxfId="101" stopIfTrue="1">
      <formula>$A18=0</formula>
    </cfRule>
  </conditionalFormatting>
  <conditionalFormatting sqref="D27:E27">
    <cfRule type="expression" priority="316" dxfId="107" stopIfTrue="1">
      <formula>$A27="Meta"</formula>
    </cfRule>
    <cfRule type="expression" priority="317" dxfId="106" stopIfTrue="1">
      <formula>$A27&lt;&gt;"Serviço"</formula>
    </cfRule>
  </conditionalFormatting>
  <conditionalFormatting sqref="C27">
    <cfRule type="expression" priority="318" dxfId="103" stopIfTrue="1">
      <formula>$A27="Meta"</formula>
    </cfRule>
    <cfRule type="expression" priority="319" dxfId="102" stopIfTrue="1">
      <formula>$A27&lt;&gt;"Serviço"</formula>
    </cfRule>
  </conditionalFormatting>
  <conditionalFormatting sqref="A27:B27">
    <cfRule type="expression" priority="320" dxfId="103" stopIfTrue="1">
      <formula>$A27="Meta"</formula>
    </cfRule>
    <cfRule type="expression" priority="321" dxfId="102" stopIfTrue="1">
      <formula>LEFT($A27,5)="Nível"</formula>
    </cfRule>
    <cfRule type="expression" priority="322" dxfId="101" stopIfTrue="1">
      <formula>$A27=0</formula>
    </cfRule>
  </conditionalFormatting>
  <conditionalFormatting sqref="D22:E22">
    <cfRule type="expression" priority="264" dxfId="107" stopIfTrue="1">
      <formula>$A22="Meta"</formula>
    </cfRule>
    <cfRule type="expression" priority="265" dxfId="106" stopIfTrue="1">
      <formula>$A22&lt;&gt;"Serviço"</formula>
    </cfRule>
  </conditionalFormatting>
  <conditionalFormatting sqref="C22">
    <cfRule type="expression" priority="266" dxfId="103" stopIfTrue="1">
      <formula>$A22="Meta"</formula>
    </cfRule>
    <cfRule type="expression" priority="267" dxfId="102" stopIfTrue="1">
      <formula>$A22&lt;&gt;"Serviço"</formula>
    </cfRule>
  </conditionalFormatting>
  <conditionalFormatting sqref="A22:B22">
    <cfRule type="expression" priority="268" dxfId="103" stopIfTrue="1">
      <formula>$A22="Meta"</formula>
    </cfRule>
    <cfRule type="expression" priority="269" dxfId="102" stopIfTrue="1">
      <formula>LEFT($A22,5)="Nível"</formula>
    </cfRule>
    <cfRule type="expression" priority="270" dxfId="101" stopIfTrue="1">
      <formula>$A22=0</formula>
    </cfRule>
  </conditionalFormatting>
  <conditionalFormatting sqref="D26:E26">
    <cfRule type="expression" priority="238" dxfId="107" stopIfTrue="1">
      <formula>$A26="Meta"</formula>
    </cfRule>
    <cfRule type="expression" priority="239" dxfId="106" stopIfTrue="1">
      <formula>$A26&lt;&gt;"Serviço"</formula>
    </cfRule>
  </conditionalFormatting>
  <conditionalFormatting sqref="C26">
    <cfRule type="expression" priority="240" dxfId="103" stopIfTrue="1">
      <formula>$A26="Meta"</formula>
    </cfRule>
    <cfRule type="expression" priority="241" dxfId="102" stopIfTrue="1">
      <formula>$A26&lt;&gt;"Serviço"</formula>
    </cfRule>
  </conditionalFormatting>
  <conditionalFormatting sqref="A26:B26">
    <cfRule type="expression" priority="242" dxfId="103" stopIfTrue="1">
      <formula>$A26="Meta"</formula>
    </cfRule>
    <cfRule type="expression" priority="243" dxfId="102" stopIfTrue="1">
      <formula>LEFT($A26,5)="Nível"</formula>
    </cfRule>
    <cfRule type="expression" priority="244" dxfId="101" stopIfTrue="1">
      <formula>$A26=0</formula>
    </cfRule>
  </conditionalFormatting>
  <conditionalFormatting sqref="D30:E30">
    <cfRule type="expression" priority="225" dxfId="107" stopIfTrue="1">
      <formula>$A30="Meta"</formula>
    </cfRule>
    <cfRule type="expression" priority="226" dxfId="106" stopIfTrue="1">
      <formula>$A30&lt;&gt;"Serviço"</formula>
    </cfRule>
  </conditionalFormatting>
  <conditionalFormatting sqref="C30">
    <cfRule type="expression" priority="227" dxfId="103" stopIfTrue="1">
      <formula>$A30="Meta"</formula>
    </cfRule>
    <cfRule type="expression" priority="228" dxfId="102" stopIfTrue="1">
      <formula>$A30&lt;&gt;"Serviço"</formula>
    </cfRule>
  </conditionalFormatting>
  <conditionalFormatting sqref="A30:B30">
    <cfRule type="expression" priority="229" dxfId="103" stopIfTrue="1">
      <formula>$A30="Meta"</formula>
    </cfRule>
    <cfRule type="expression" priority="230" dxfId="102" stopIfTrue="1">
      <formula>LEFT($A30,5)="Nível"</formula>
    </cfRule>
    <cfRule type="expression" priority="231" dxfId="101" stopIfTrue="1">
      <formula>$A30=0</formula>
    </cfRule>
  </conditionalFormatting>
  <conditionalFormatting sqref="D23:E23">
    <cfRule type="expression" priority="186" dxfId="107" stopIfTrue="1">
      <formula>$A23="Meta"</formula>
    </cfRule>
    <cfRule type="expression" priority="187" dxfId="106" stopIfTrue="1">
      <formula>$A23&lt;&gt;"Serviço"</formula>
    </cfRule>
  </conditionalFormatting>
  <conditionalFormatting sqref="C23">
    <cfRule type="expression" priority="188" dxfId="103" stopIfTrue="1">
      <formula>$A23="Meta"</formula>
    </cfRule>
    <cfRule type="expression" priority="189" dxfId="102" stopIfTrue="1">
      <formula>$A23&lt;&gt;"Serviço"</formula>
    </cfRule>
  </conditionalFormatting>
  <conditionalFormatting sqref="A23:B23">
    <cfRule type="expression" priority="190" dxfId="103" stopIfTrue="1">
      <formula>$A23="Meta"</formula>
    </cfRule>
    <cfRule type="expression" priority="191" dxfId="102" stopIfTrue="1">
      <formula>LEFT($A23,5)="Nível"</formula>
    </cfRule>
    <cfRule type="expression" priority="192" dxfId="101" stopIfTrue="1">
      <formula>$A23=0</formula>
    </cfRule>
  </conditionalFormatting>
  <conditionalFormatting sqref="D50:E50">
    <cfRule type="expression" priority="43" dxfId="107" stopIfTrue="1">
      <formula>$A50="Meta"</formula>
    </cfRule>
    <cfRule type="expression" priority="44" dxfId="106" stopIfTrue="1">
      <formula>$A50&lt;&gt;"Serviço"</formula>
    </cfRule>
  </conditionalFormatting>
  <conditionalFormatting sqref="C50">
    <cfRule type="expression" priority="45" dxfId="103" stopIfTrue="1">
      <formula>$A50="Meta"</formula>
    </cfRule>
    <cfRule type="expression" priority="46" dxfId="102" stopIfTrue="1">
      <formula>$A50&lt;&gt;"Serviço"</formula>
    </cfRule>
  </conditionalFormatting>
  <conditionalFormatting sqref="A50:B50">
    <cfRule type="expression" priority="47" dxfId="103" stopIfTrue="1">
      <formula>$A50="Meta"</formula>
    </cfRule>
    <cfRule type="expression" priority="48" dxfId="102" stopIfTrue="1">
      <formula>LEFT($A50,5)="Nível"</formula>
    </cfRule>
    <cfRule type="expression" priority="49" dxfId="101" stopIfTrue="1">
      <formula>$A50=0</formula>
    </cfRule>
  </conditionalFormatting>
  <conditionalFormatting sqref="D28:E28">
    <cfRule type="expression" priority="30" dxfId="107" stopIfTrue="1">
      <formula>$A28="Meta"</formula>
    </cfRule>
    <cfRule type="expression" priority="31" dxfId="106" stopIfTrue="1">
      <formula>$A28&lt;&gt;"Serviço"</formula>
    </cfRule>
  </conditionalFormatting>
  <conditionalFormatting sqref="C28">
    <cfRule type="expression" priority="32" dxfId="103" stopIfTrue="1">
      <formula>$A28="Meta"</formula>
    </cfRule>
    <cfRule type="expression" priority="33" dxfId="102" stopIfTrue="1">
      <formula>$A28&lt;&gt;"Serviço"</formula>
    </cfRule>
  </conditionalFormatting>
  <conditionalFormatting sqref="A28:B28">
    <cfRule type="expression" priority="34" dxfId="103" stopIfTrue="1">
      <formula>$A28="Meta"</formula>
    </cfRule>
    <cfRule type="expression" priority="35" dxfId="102" stopIfTrue="1">
      <formula>LEFT($A28,5)="Nível"</formula>
    </cfRule>
    <cfRule type="expression" priority="36" dxfId="101" stopIfTrue="1">
      <formula>$A28=0</formula>
    </cfRule>
  </conditionalFormatting>
  <conditionalFormatting sqref="U28">
    <cfRule type="expression" priority="37" dxfId="107" stopIfTrue="1">
      <formula>$A28="Meta"</formula>
    </cfRule>
    <cfRule type="expression" priority="38" dxfId="101" stopIfTrue="1">
      <formula>OR(U$9=0,$A28&lt;&gt;"Serviço")</formula>
    </cfRule>
    <cfRule type="expression" priority="39" dxfId="115" stopIfTrue="1">
      <formula>TipoOrçamento="Licitado"</formula>
    </cfRule>
  </conditionalFormatting>
  <conditionalFormatting sqref="F28:O28">
    <cfRule type="expression" priority="27" dxfId="107" stopIfTrue="1">
      <formula>$A28="Meta"</formula>
    </cfRule>
    <cfRule type="expression" priority="28" dxfId="101" stopIfTrue="1">
      <formula>OR(F$9=0,$A28&lt;&gt;"Serviço")</formula>
    </cfRule>
    <cfRule type="expression" priority="29" dxfId="115" stopIfTrue="1">
      <formula>TipoOrçamento="Licitado"</formula>
    </cfRule>
  </conditionalFormatting>
  <conditionalFormatting sqref="D44:E44">
    <cfRule type="expression" priority="17" dxfId="107" stopIfTrue="1">
      <formula>$A44="Meta"</formula>
    </cfRule>
    <cfRule type="expression" priority="18" dxfId="106" stopIfTrue="1">
      <formula>$A44&lt;&gt;"Serviço"</formula>
    </cfRule>
  </conditionalFormatting>
  <conditionalFormatting sqref="C44">
    <cfRule type="expression" priority="19" dxfId="103" stopIfTrue="1">
      <formula>$A44="Meta"</formula>
    </cfRule>
    <cfRule type="expression" priority="20" dxfId="102" stopIfTrue="1">
      <formula>$A44&lt;&gt;"Serviço"</formula>
    </cfRule>
  </conditionalFormatting>
  <conditionalFormatting sqref="A44:B44">
    <cfRule type="expression" priority="21" dxfId="103" stopIfTrue="1">
      <formula>$A44="Meta"</formula>
    </cfRule>
    <cfRule type="expression" priority="22" dxfId="102" stopIfTrue="1">
      <formula>LEFT($A44,5)="Nível"</formula>
    </cfRule>
    <cfRule type="expression" priority="23" dxfId="101" stopIfTrue="1">
      <formula>$A44=0</formula>
    </cfRule>
  </conditionalFormatting>
  <conditionalFormatting sqref="D54:E54">
    <cfRule type="expression" priority="4" dxfId="107" stopIfTrue="1">
      <formula>$A54="Meta"</formula>
    </cfRule>
    <cfRule type="expression" priority="5" dxfId="106" stopIfTrue="1">
      <formula>$A54&lt;&gt;"Serviço"</formula>
    </cfRule>
  </conditionalFormatting>
  <conditionalFormatting sqref="C54">
    <cfRule type="expression" priority="6" dxfId="103" stopIfTrue="1">
      <formula>$A54="Meta"</formula>
    </cfRule>
    <cfRule type="expression" priority="7" dxfId="102" stopIfTrue="1">
      <formula>$A54&lt;&gt;"Serviço"</formula>
    </cfRule>
  </conditionalFormatting>
  <conditionalFormatting sqref="A54:B54">
    <cfRule type="expression" priority="8" dxfId="103" stopIfTrue="1">
      <formula>$A54="Meta"</formula>
    </cfRule>
    <cfRule type="expression" priority="9" dxfId="102" stopIfTrue="1">
      <formula>LEFT($A54,5)="Nível"</formula>
    </cfRule>
    <cfRule type="expression" priority="10" dxfId="101" stopIfTrue="1">
      <formula>$A54=0</formula>
    </cfRule>
  </conditionalFormatting>
  <dataValidations count="1">
    <dataValidation type="decimal" operator="greaterThanOrEqual" allowBlank="1" showInputMessage="1" showErrorMessage="1" error="Digite apenas números._x000a__x000a_preferencialmente com 02 casas de precisão." sqref="U11 F11:O11 F14:O56 U14:U56">
      <formula1>0</formula1>
    </dataValidation>
  </dataValidations>
  <printOptions horizontalCentered="1"/>
  <pageMargins left="0.7874015748031497" right="0.7874015748031497" top="0.7874015748031497" bottom="0.7874015748031497" header="0.5905511811023623" footer="0.5905511811023623"/>
  <pageSetup fitToHeight="0" fitToWidth="0" horizontalDpi="600" verticalDpi="600" orientation="landscape" paperSize="9" scale="62" r:id="rId3"/>
  <headerFooter alignWithMargins="0">
    <oddHeader>&amp;C&amp;14I</oddHeader>
    <oddFooter>&amp;L27.476 v008   micro&amp;R&amp;P</oddFooter>
  </headerFooter>
  <ignoredErrors>
    <ignoredError sqref="B62 B59" unlockedFormula="1"/>
    <ignoredError sqref="A12 C12" formula="1"/>
  </ignoredErrors>
  <drawing r:id="rId2"/>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6">
    <tabColor rgb="FFFFFF00"/>
    <outlinePr summaryBelow="0"/>
  </sheetPr>
  <dimension ref="A1:AC70"/>
  <sheetViews>
    <sheetView showGridLines="0" zoomScaleSheetLayoutView="100" workbookViewId="0" topLeftCell="L1">
      <selection activeCell="Q30" sqref="Q30"/>
    </sheetView>
  </sheetViews>
  <sheetFormatPr defaultColWidth="9.140625" defaultRowHeight="12.75"/>
  <cols>
    <col min="1" max="4" width="9.140625" style="42" hidden="1" customWidth="1"/>
    <col min="5" max="8" width="5.7109375" style="42" hidden="1" customWidth="1"/>
    <col min="9" max="10" width="6.7109375" style="42" hidden="1" customWidth="1"/>
    <col min="11" max="11" width="10.7109375" style="42" hidden="1" customWidth="1"/>
    <col min="12" max="12" width="10.7109375" style="42" customWidth="1"/>
    <col min="13" max="13" width="40.57421875" style="42" customWidth="1"/>
    <col min="14" max="14" width="16.421875" style="47" customWidth="1"/>
    <col min="15" max="15" width="16.57421875" style="42" bestFit="1" customWidth="1"/>
    <col min="16" max="23" width="15.7109375" style="42" customWidth="1"/>
    <col min="24" max="24" width="0.85546875" style="46" customWidth="1"/>
    <col min="25" max="28" width="9.140625" style="42" customWidth="1"/>
    <col min="29" max="29" width="15.7109375" style="42" hidden="1" customWidth="1"/>
    <col min="30" max="16384" width="9.140625" style="42" customWidth="1"/>
  </cols>
  <sheetData>
    <row r="1" spans="1:29" s="41" customFormat="1" ht="12.9" customHeight="1">
      <c r="A1" s="21"/>
      <c r="B1" s="21"/>
      <c r="C1" s="21"/>
      <c r="D1" s="21"/>
      <c r="E1" s="172"/>
      <c r="F1" s="172"/>
      <c r="G1" s="172"/>
      <c r="H1" s="172"/>
      <c r="I1" s="172"/>
      <c r="J1" s="172"/>
      <c r="K1" s="172"/>
      <c r="L1" s="21"/>
      <c r="M1" s="21"/>
      <c r="N1" s="21"/>
      <c r="O1" s="173" t="s">
        <v>22</v>
      </c>
      <c r="P1" s="174" t="s">
        <v>115</v>
      </c>
      <c r="Q1" s="175"/>
      <c r="R1" s="21"/>
      <c r="S1" s="21"/>
      <c r="T1" s="21"/>
      <c r="U1" s="1"/>
      <c r="V1" s="1"/>
      <c r="W1" s="1"/>
      <c r="X1" s="1"/>
      <c r="AC1" s="1"/>
    </row>
    <row r="2" spans="1:29" s="41" customFormat="1" ht="12.75" customHeight="1">
      <c r="A2" s="1"/>
      <c r="B2" s="1"/>
      <c r="C2" s="1"/>
      <c r="D2" s="1"/>
      <c r="E2" s="1"/>
      <c r="F2" s="1"/>
      <c r="G2" s="1"/>
      <c r="H2" s="1"/>
      <c r="I2" s="1"/>
      <c r="J2" s="1"/>
      <c r="K2" s="1"/>
      <c r="L2" s="1"/>
      <c r="M2" s="1"/>
      <c r="N2" s="1"/>
      <c r="O2" s="173"/>
      <c r="P2" s="176" t="str">
        <f>CHOOSE(1+LOG(1+2*(TipoOrçamento="BASE")+4*(TipoOrçamento="LICITADO")+8*(TipoOrçamento="REPROGRAMADOAC")+16*(TipoOrçamento="REPROGRAMADONPL"),2),"nada","Cronograma Base para Licitação","Cronograma Licitado","Cronograma Licitado Reprogramado","Cronograma Base para Licitação - Reprogramado")</f>
        <v>Cronograma Base para Licitação</v>
      </c>
      <c r="Q2" s="1"/>
      <c r="R2" s="1"/>
      <c r="S2" s="1"/>
      <c r="T2" s="1"/>
      <c r="U2" s="1"/>
      <c r="V2" s="174"/>
      <c r="W2" s="1"/>
      <c r="X2" s="1"/>
      <c r="AC2" s="1"/>
    </row>
    <row r="3" spans="1:29" s="41" customFormat="1" ht="12.75" customHeight="1">
      <c r="A3" s="1"/>
      <c r="B3" s="1"/>
      <c r="C3" s="1"/>
      <c r="D3" s="1"/>
      <c r="E3" s="1"/>
      <c r="F3" s="1"/>
      <c r="G3" s="1"/>
      <c r="H3" s="1"/>
      <c r="I3" s="1"/>
      <c r="J3" s="1"/>
      <c r="K3" s="1"/>
      <c r="L3" s="1"/>
      <c r="M3" s="1"/>
      <c r="N3" s="1"/>
      <c r="O3" s="1"/>
      <c r="P3" s="1"/>
      <c r="Q3" s="1"/>
      <c r="R3" s="1"/>
      <c r="S3" s="82"/>
      <c r="T3" s="1"/>
      <c r="U3" s="1"/>
      <c r="V3" s="1"/>
      <c r="W3" s="1"/>
      <c r="X3" s="1"/>
      <c r="AC3" s="1"/>
    </row>
    <row r="4" spans="1:29" s="41" customFormat="1" ht="24.9" customHeight="1">
      <c r="A4" s="1"/>
      <c r="B4" s="1"/>
      <c r="C4" s="1"/>
      <c r="D4" s="1"/>
      <c r="E4" s="1"/>
      <c r="F4" s="1"/>
      <c r="G4" s="1"/>
      <c r="H4" s="1"/>
      <c r="I4" s="1"/>
      <c r="J4" s="1"/>
      <c r="K4" s="1"/>
      <c r="L4" s="1"/>
      <c r="M4" s="1"/>
      <c r="N4" s="1"/>
      <c r="O4" s="1"/>
      <c r="P4" s="1"/>
      <c r="Q4" s="1"/>
      <c r="R4" s="1"/>
      <c r="S4" s="1"/>
      <c r="T4" s="1"/>
      <c r="U4" s="1"/>
      <c r="V4" s="1"/>
      <c r="W4" s="1"/>
      <c r="X4" s="1"/>
      <c r="AC4" s="1"/>
    </row>
    <row r="5" spans="1:29" s="41" customFormat="1" ht="24.9" customHeight="1">
      <c r="A5" s="1"/>
      <c r="B5" s="1"/>
      <c r="C5" s="1"/>
      <c r="D5" s="1"/>
      <c r="E5" s="1"/>
      <c r="F5" s="1"/>
      <c r="G5" s="1"/>
      <c r="H5" s="1"/>
      <c r="I5" s="1"/>
      <c r="J5" s="1"/>
      <c r="K5" s="1"/>
      <c r="L5" s="1"/>
      <c r="M5" s="1"/>
      <c r="N5" s="1"/>
      <c r="O5" s="1"/>
      <c r="P5" s="1"/>
      <c r="Q5" s="1"/>
      <c r="R5" s="1"/>
      <c r="S5" s="1"/>
      <c r="T5" s="1"/>
      <c r="U5" s="1"/>
      <c r="V5" s="1"/>
      <c r="W5" s="1"/>
      <c r="X5" s="1"/>
      <c r="AC5" s="1"/>
    </row>
    <row r="6" spans="1:29" s="41" customFormat="1" ht="24.9" customHeight="1">
      <c r="A6" s="1"/>
      <c r="B6" s="1"/>
      <c r="C6" s="1"/>
      <c r="D6" s="1"/>
      <c r="E6" s="1"/>
      <c r="F6" s="1"/>
      <c r="G6" s="1"/>
      <c r="H6" s="1"/>
      <c r="I6" s="1"/>
      <c r="J6" s="1"/>
      <c r="K6" s="1"/>
      <c r="L6" s="1"/>
      <c r="M6" s="1"/>
      <c r="N6" s="1"/>
      <c r="O6" s="1"/>
      <c r="P6" s="1"/>
      <c r="Q6" s="1"/>
      <c r="R6" s="1"/>
      <c r="S6" s="1"/>
      <c r="T6" s="1"/>
      <c r="U6" s="1"/>
      <c r="V6" s="1"/>
      <c r="W6" s="1"/>
      <c r="X6" s="1"/>
      <c r="AC6" s="1"/>
    </row>
    <row r="7" spans="1:29" s="41" customFormat="1" ht="21.75" customHeight="1">
      <c r="A7" s="1"/>
      <c r="B7" s="1"/>
      <c r="C7" s="1"/>
      <c r="D7" s="1"/>
      <c r="E7" s="1"/>
      <c r="F7" s="1"/>
      <c r="G7" s="1"/>
      <c r="H7" s="1"/>
      <c r="I7" s="1"/>
      <c r="J7" s="1"/>
      <c r="K7" s="1"/>
      <c r="L7" s="1"/>
      <c r="M7" s="1"/>
      <c r="N7" s="1"/>
      <c r="O7" s="1"/>
      <c r="P7" s="1"/>
      <c r="Q7" s="1"/>
      <c r="R7" s="1"/>
      <c r="S7" s="1"/>
      <c r="T7" s="1"/>
      <c r="U7" s="1"/>
      <c r="V7" s="1"/>
      <c r="W7" s="1"/>
      <c r="X7" s="1"/>
      <c r="AC7" s="1"/>
    </row>
    <row r="8" spans="1:29" s="41" customFormat="1" ht="30" customHeight="1">
      <c r="A8" s="177" t="s">
        <v>175</v>
      </c>
      <c r="B8" s="1"/>
      <c r="C8" s="1"/>
      <c r="D8" s="1"/>
      <c r="E8" s="1"/>
      <c r="F8" s="1"/>
      <c r="G8" s="1"/>
      <c r="H8" s="1"/>
      <c r="I8" s="1"/>
      <c r="J8" s="1"/>
      <c r="K8" s="1"/>
      <c r="L8" s="387" t="str">
        <f ca="1">IF(MAX($A$14:$A$61)&lt;&gt;MAX(PO!$V$12:$V$57),"ERRO: CRONOGRAMA DESATUALIZADO",IF(OR(COUNTIF($O$16:$X$16,"&gt;1")&gt;0,OFFSET($X$17,0,-1)&lt;&gt;$N$14),"ERRO: CRONOGRAMA NÃO FECHA EM 100%",""))</f>
        <v/>
      </c>
      <c r="M8" s="387"/>
      <c r="N8" s="160" t="str">
        <f>IF(TipoOrçamento="REPROGRAMADOAC","Qtde de Medições realizadas","")</f>
        <v/>
      </c>
      <c r="O8" s="178"/>
      <c r="P8" s="179"/>
      <c r="Q8" s="1"/>
      <c r="R8" s="1"/>
      <c r="S8" s="1"/>
      <c r="T8" s="1"/>
      <c r="U8" s="1"/>
      <c r="V8" s="1"/>
      <c r="W8" s="1"/>
      <c r="X8" s="1"/>
      <c r="AC8" s="1"/>
    </row>
    <row r="9" spans="1:29" s="41" customFormat="1" ht="14.1" customHeight="1">
      <c r="A9" s="166">
        <v>2</v>
      </c>
      <c r="B9" s="1"/>
      <c r="C9" s="1"/>
      <c r="D9" s="1"/>
      <c r="E9" s="1"/>
      <c r="F9" s="1"/>
      <c r="G9" s="1"/>
      <c r="H9" s="1"/>
      <c r="I9" s="1"/>
      <c r="J9" s="1"/>
      <c r="K9" s="1"/>
      <c r="L9" s="82"/>
      <c r="M9" s="82"/>
      <c r="N9" s="159">
        <v>1</v>
      </c>
      <c r="O9" s="149">
        <f>IF(AND(TipoOrçamento="REPROGRAMADOAC",$N$9&gt;0),$N$9-1,0)</f>
        <v>0</v>
      </c>
      <c r="P9" s="148">
        <f aca="true" ca="1" t="shared" si="0" ref="P9:W9">OFFSET(P9,0,-1)+1</f>
        <v>1</v>
      </c>
      <c r="Q9" s="148">
        <f ca="1" t="shared" si="0"/>
        <v>2</v>
      </c>
      <c r="R9" s="148">
        <f ca="1" t="shared" si="0"/>
        <v>3</v>
      </c>
      <c r="S9" s="148">
        <f ca="1" t="shared" si="0"/>
        <v>4</v>
      </c>
      <c r="T9" s="148">
        <f ca="1" t="shared" si="0"/>
        <v>5</v>
      </c>
      <c r="U9" s="148">
        <f ca="1" t="shared" si="0"/>
        <v>6</v>
      </c>
      <c r="V9" s="148">
        <f ca="1" t="shared" si="0"/>
        <v>7</v>
      </c>
      <c r="W9" s="148">
        <f ca="1" t="shared" si="0"/>
        <v>8</v>
      </c>
      <c r="X9" s="1"/>
      <c r="AC9" s="148">
        <f ca="1">OFFSET(AC9,0,-1)+1</f>
        <v>1</v>
      </c>
    </row>
    <row r="10" spans="1:29" s="43" customFormat="1" ht="30" customHeight="1">
      <c r="A10" s="180" t="s">
        <v>160</v>
      </c>
      <c r="B10" s="180" t="s">
        <v>129</v>
      </c>
      <c r="C10" s="180" t="s">
        <v>3</v>
      </c>
      <c r="D10" s="180" t="s">
        <v>123</v>
      </c>
      <c r="E10" s="180" t="s">
        <v>109</v>
      </c>
      <c r="F10" s="180" t="s">
        <v>110</v>
      </c>
      <c r="G10" s="180" t="s">
        <v>127</v>
      </c>
      <c r="H10" s="180" t="s">
        <v>128</v>
      </c>
      <c r="I10" s="180" t="s">
        <v>124</v>
      </c>
      <c r="J10" s="180" t="s">
        <v>125</v>
      </c>
      <c r="K10" s="180" t="s">
        <v>177</v>
      </c>
      <c r="L10" s="181" t="s">
        <v>146</v>
      </c>
      <c r="M10" s="182" t="s">
        <v>159</v>
      </c>
      <c r="N10" s="183" t="s">
        <v>139</v>
      </c>
      <c r="O10" s="218" t="str">
        <f>IF(TipoOrçamento="REPROGRAMADOAC","Reinício de Obra","Início de Obra")&amp;CHAR(10)&amp;TEXT(DADOS!A48,"dd/mm/aa")</f>
        <v>Início de Obra
01/08/23</v>
      </c>
      <c r="P10" s="219" t="str">
        <f ca="1">IF(AND(TipoOrçamento="REPROGRAMADOAC",$N$9&gt;0,N10="Valores Totais (R$)"),"Parcela "&amp;$N$9&amp;" Executado","Parcela "&amp;P$9&amp;CHAR(10)&amp;TEXT(DATE(YEAR(DADOS!$A$48),MONTH(DADOS!$A$48)+P$9-IF(AND(TipoOrçamento="REPROGRAMADOAC",$N$9&gt;0),$N$9,0),1),"mmm/aa"))</f>
        <v>Parcela 1
set/23</v>
      </c>
      <c r="Q10" s="210" t="str">
        <f ca="1">IF(AND(TipoOrçamento="REPROGRAMADOAC",$N$9&gt;0,O10="Valores Totais (R$)"),"Parcela "&amp;$N$9&amp;" Executado","Parcela "&amp;Q$9&amp;CHAR(10)&amp;TEXT(DATE(YEAR(DADOS!$A$48),MONTH(DADOS!$A$48)+Q$9-IF(AND(TipoOrçamento="REPROGRAMADOAC",$N$9&gt;0),$N$9,0),1),"mmm/aa"))</f>
        <v>Parcela 2
out/23</v>
      </c>
      <c r="R10" s="210" t="str">
        <f ca="1">IF(AND(TipoOrçamento="REPROGRAMADOAC",$N$9&gt;0,P10="Valores Totais (R$)"),"Parcela "&amp;$N$9&amp;" Executado","Parcela "&amp;R$9&amp;CHAR(10)&amp;TEXT(DATE(YEAR(DADOS!$A$48),MONTH(DADOS!$A$48)+R$9-IF(AND(TipoOrçamento="REPROGRAMADOAC",$N$9&gt;0),$N$9,0),1),"mmm/aa"))</f>
        <v>Parcela 3
nov/23</v>
      </c>
      <c r="S10" s="210" t="str">
        <f ca="1">IF(AND(TipoOrçamento="REPROGRAMADOAC",$N$9&gt;0,Q10="Valores Totais (R$)"),"Parcela "&amp;$N$9&amp;" Executado","Parcela "&amp;S$9&amp;CHAR(10)&amp;TEXT(DATE(YEAR(DADOS!$A$48),MONTH(DADOS!$A$48)+S$9-IF(AND(TipoOrçamento="REPROGRAMADOAC",$N$9&gt;0),$N$9,0),1),"mmm/aa"))</f>
        <v>Parcela 4
dez/23</v>
      </c>
      <c r="T10" s="210" t="str">
        <f ca="1">IF(AND(TipoOrçamento="REPROGRAMADOAC",$N$9&gt;0,R10="Valores Totais (R$)"),"Parcela "&amp;$N$9&amp;" Executado","Parcela "&amp;T$9&amp;CHAR(10)&amp;TEXT(DATE(YEAR(DADOS!$A$48),MONTH(DADOS!$A$48)+T$9-IF(AND(TipoOrçamento="REPROGRAMADOAC",$N$9&gt;0),$N$9,0),1),"mmm/aa"))</f>
        <v>Parcela 5
jan/24</v>
      </c>
      <c r="U10" s="210" t="str">
        <f ca="1">IF(AND(TipoOrçamento="REPROGRAMADOAC",$N$9&gt;0,S10="Valores Totais (R$)"),"Parcela "&amp;$N$9&amp;" Executado","Parcela "&amp;U$9&amp;CHAR(10)&amp;TEXT(DATE(YEAR(DADOS!$A$48),MONTH(DADOS!$A$48)+U$9-IF(AND(TipoOrçamento="REPROGRAMADOAC",$N$9&gt;0),$N$9,0),1),"mmm/aa"))</f>
        <v>Parcela 6
fev/24</v>
      </c>
      <c r="V10" s="210" t="str">
        <f ca="1">IF(AND(TipoOrçamento="REPROGRAMADOAC",$N$9&gt;0,T10="Valores Totais (R$)"),"Parcela "&amp;$N$9&amp;" Executado","Parcela "&amp;V$9&amp;CHAR(10)&amp;TEXT(DATE(YEAR(DADOS!$A$48),MONTH(DADOS!$A$48)+V$9-IF(AND(TipoOrçamento="REPROGRAMADOAC",$N$9&gt;0),$N$9,0),1),"mmm/aa"))</f>
        <v>Parcela 7
mar/24</v>
      </c>
      <c r="W10" s="222" t="str">
        <f ca="1">IF(AND(TipoOrçamento="REPROGRAMADOAC",$N$9&gt;0,U10="Valores Totais (R$)"),"Parcela "&amp;$N$9&amp;" Executado","Parcela "&amp;W$9&amp;CHAR(10)&amp;TEXT(DATE(YEAR(DADOS!$A$48),MONTH(DADOS!$A$48)+W$9-IF(AND(TipoOrçamento="REPROGRAMADOAC",$N$9&gt;0),$N$9,0),1),"mmm/aa"))</f>
        <v>Parcela 8
abr/24</v>
      </c>
      <c r="X10" s="195"/>
      <c r="AC10" s="210" t="str">
        <f ca="1">IF(AND(TipoOrçamento="REPROGRAMADOAC",$N$9&gt;0,AA10="Valores Totais (R$)"),"Parcela "&amp;$N$9&amp;" Executado","Parcela "&amp;AC$9&amp;CHAR(10)&amp;TEXT(DATE(YEAR(DADOS!$A$48),MONTH(DADOS!$A$48)+AC$9-IF(AND(TipoOrçamento="REPROGRAMADOAC",$N$9&gt;0),$N$9,0),1),"mmm/aa"))</f>
        <v>Parcela 1
set/23</v>
      </c>
    </row>
    <row r="11" spans="1:29" ht="14.25" customHeight="1" hidden="1">
      <c r="A11" s="82"/>
      <c r="B11" s="82"/>
      <c r="C11" s="82"/>
      <c r="D11" s="82"/>
      <c r="E11" s="82"/>
      <c r="F11" s="82"/>
      <c r="G11" s="82"/>
      <c r="H11" s="82"/>
      <c r="I11" s="82"/>
      <c r="J11" s="82"/>
      <c r="K11" s="82"/>
      <c r="L11" s="372" t="e">
        <f ca="1">INDEX(PO!K$12:K$57,MATCH($A13,PO!$V$12:$V$57,0))</f>
        <v>#VALUE!</v>
      </c>
      <c r="M11" s="374" t="e">
        <f ca="1">INDEX(PO!N$12:N$57,MATCH($A13,PO!$V$12:$V$57,0))</f>
        <v>#VALUE!</v>
      </c>
      <c r="N11" s="385" t="e">
        <f ca="1">IF(ROUND(K13,2)=0,K13,ROUND(K13,2))</f>
        <v>#VALUE!</v>
      </c>
      <c r="O11" s="220" t="s">
        <v>142</v>
      </c>
      <c r="P11" s="225" t="e">
        <f ca="1">IF($B13,0,P12-IF(ISNUMBER(O12),O12,0))</f>
        <v>#VALUE!</v>
      </c>
      <c r="Q11" s="226" t="e">
        <f aca="true" t="shared" si="1" ref="Q11:W11">IF($B13,0,Q12-IF(ISNUMBER(P12),P12,0))</f>
        <v>#VALUE!</v>
      </c>
      <c r="R11" s="226" t="e">
        <f ca="1" t="shared" si="1"/>
        <v>#VALUE!</v>
      </c>
      <c r="S11" s="226" t="e">
        <f ca="1" t="shared" si="1"/>
        <v>#VALUE!</v>
      </c>
      <c r="T11" s="226" t="e">
        <f ca="1" t="shared" si="1"/>
        <v>#VALUE!</v>
      </c>
      <c r="U11" s="226" t="e">
        <f ca="1" t="shared" si="1"/>
        <v>#VALUE!</v>
      </c>
      <c r="V11" s="226" t="e">
        <f ca="1" t="shared" si="1"/>
        <v>#VALUE!</v>
      </c>
      <c r="W11" s="227" t="e">
        <f ca="1" t="shared" si="1"/>
        <v>#VALUE!</v>
      </c>
      <c r="X11" s="196"/>
      <c r="AC11" s="221" t="e">
        <f ca="1">IF($B13,0,AC12-IF(ISNUMBER(AB12),AB12,0))</f>
        <v>#VALUE!</v>
      </c>
    </row>
    <row r="12" spans="1:29" ht="13.8" hidden="1">
      <c r="A12" s="184"/>
      <c r="B12" s="184"/>
      <c r="C12" s="184"/>
      <c r="D12" s="184"/>
      <c r="E12" s="184"/>
      <c r="F12" s="184"/>
      <c r="G12" s="184"/>
      <c r="H12" s="184"/>
      <c r="I12" s="184"/>
      <c r="J12" s="184"/>
      <c r="K12" s="184"/>
      <c r="L12" s="373"/>
      <c r="M12" s="375"/>
      <c r="N12" s="386"/>
      <c r="O12" s="170" t="s">
        <v>144</v>
      </c>
      <c r="P12" s="198" t="e">
        <f ca="1">MIN(IF($B13,P11+IF(ISNUMBER(O12),O12,0),P13/$N11),1)</f>
        <v>#VALUE!</v>
      </c>
      <c r="Q12" s="168" t="e">
        <f aca="true" t="shared" si="2" ref="Q12:W12">MIN(IF($B13,Q11+IF(ISNUMBER(P12),P12,0),Q13/$N11),1)</f>
        <v>#VALUE!</v>
      </c>
      <c r="R12" s="168" t="e">
        <f ca="1" t="shared" si="2"/>
        <v>#VALUE!</v>
      </c>
      <c r="S12" s="168" t="e">
        <f ca="1" t="shared" si="2"/>
        <v>#VALUE!</v>
      </c>
      <c r="T12" s="168" t="e">
        <f ca="1" t="shared" si="2"/>
        <v>#VALUE!</v>
      </c>
      <c r="U12" s="168" t="e">
        <f ca="1" t="shared" si="2"/>
        <v>#VALUE!</v>
      </c>
      <c r="V12" s="168" t="e">
        <f ca="1" t="shared" si="2"/>
        <v>#VALUE!</v>
      </c>
      <c r="W12" s="168" t="e">
        <f ca="1" t="shared" si="2"/>
        <v>#VALUE!</v>
      </c>
      <c r="X12" s="196"/>
      <c r="AC12" s="168" t="e">
        <f ca="1">MIN(IF($B13,AC11+IF(ISNUMBER(AB12),AB12,0),AC13/$N11),1)</f>
        <v>#VALUE!</v>
      </c>
    </row>
    <row r="13" spans="1:29" ht="13.8" hidden="1">
      <c r="A13" s="184" t="e">
        <f ca="1">OFFSET(A13,-CFF.NumLinha,0)+1</f>
        <v>#VALUE!</v>
      </c>
      <c r="B13" s="184" t="e">
        <f ca="1">$C13&gt;=OFFSET($C13,CFF.NumLinha,0)</f>
        <v>#VALUE!</v>
      </c>
      <c r="C13" s="184" t="e">
        <f ca="1">INDEX(PO!A$12:A$57,MATCH($A13,PO!$V$12:$V$57,0))</f>
        <v>#VALUE!</v>
      </c>
      <c r="D13" s="184" t="e">
        <f ca="1">IF(ISERROR(J13),I13,SMALL(I13:J13,1))-1</f>
        <v>#VALUE!</v>
      </c>
      <c r="E13" s="184" t="e">
        <f ca="1">IF($C13=1,OFFSET(E13,-CFF.NumLinha,0)+1,OFFSET(E13,-CFF.NumLinha,0))</f>
        <v>#VALUE!</v>
      </c>
      <c r="F13" s="184" t="e">
        <f ca="1">IF($C13=1,0,IF($C13=2,OFFSET(F13,-CFF.NumLinha,0)+1,OFFSET(F13,-CFF.NumLinha,0)))</f>
        <v>#VALUE!</v>
      </c>
      <c r="G13" s="184" t="e">
        <f ca="1">IF(AND($C13&lt;=2,$C13&lt;&gt;0),0,IF($C13=3,OFFSET(G13,-CFF.NumLinha,0)+1,OFFSET(G13,-CFF.NumLinha,0)))</f>
        <v>#VALUE!</v>
      </c>
      <c r="H13" s="184" t="e">
        <f ca="1">IF(AND($C13&lt;=3,$C13&lt;&gt;0),0,IF($C13=4,OFFSET(H13,-CFF.NumLinha,0)+1,OFFSET(H13,-CFF.NumLinha,0)))</f>
        <v>#VALUE!</v>
      </c>
      <c r="I13" s="184" t="e">
        <f ca="1">MATCH(0,OFFSET($D13,1,$C13,ROW($A$60)-ROW($A13)),0)</f>
        <v>#VALUE!</v>
      </c>
      <c r="J13" s="184" t="e">
        <f ca="1">MATCH(OFFSET($D13,0,$C13)+1,OFFSET($D13,1,$C13,ROW($A$60)-ROW($A13)),0)</f>
        <v>#VALUE!</v>
      </c>
      <c r="K13" s="185" t="e">
        <f ca="1">ROUND(INDEX(PO!T$12:T$57,MATCH($A13,PO!$V$12:$V$57,0)),2)+10^-12</f>
        <v>#VALUE!</v>
      </c>
      <c r="L13" s="373"/>
      <c r="M13" s="375"/>
      <c r="N13" s="386"/>
      <c r="O13" s="204" t="s">
        <v>20</v>
      </c>
      <c r="P13" s="199" t="e">
        <f ca="1">IF($B13,ROUND(P12*$N11,2),ROUND(SUMIF(OFFSET($B13,1,0,$D13),TRUE,OFFSET(P13,1,0,$D13))/SUMIF(OFFSET($B13,1,0,$D13),TRUE,OFFSET($K13,1,0,$D13))*$N11,2))</f>
        <v>#VALUE!</v>
      </c>
      <c r="Q13" s="169" t="e">
        <f aca="true" ca="1" t="shared" si="3" ref="Q13:W13">IF($B13,ROUND(Q12*$N11,2),ROUND(SUMIF(OFFSET($B13,1,0,$D13),TRUE,OFFSET(Q13,1,0,$D13))/SUMIF(OFFSET($B13,1,0,$D13),TRUE,OFFSET($K13,1,0,$D13))*$N11,2))</f>
        <v>#VALUE!</v>
      </c>
      <c r="R13" s="169" t="e">
        <f ca="1" t="shared" si="3"/>
        <v>#VALUE!</v>
      </c>
      <c r="S13" s="169" t="e">
        <f ca="1" t="shared" si="3"/>
        <v>#VALUE!</v>
      </c>
      <c r="T13" s="169" t="e">
        <f ca="1" t="shared" si="3"/>
        <v>#VALUE!</v>
      </c>
      <c r="U13" s="169" t="e">
        <f ca="1" t="shared" si="3"/>
        <v>#VALUE!</v>
      </c>
      <c r="V13" s="169" t="e">
        <f ca="1" t="shared" si="3"/>
        <v>#VALUE!</v>
      </c>
      <c r="W13" s="207" t="e">
        <f ca="1" t="shared" si="3"/>
        <v>#VALUE!</v>
      </c>
      <c r="X13" s="196"/>
      <c r="AC13" s="169" t="e">
        <f ca="1">IF($B13,ROUND(AC12*$N11,2),ROUND(SUMIF(OFFSET($B13,1,0,$D13),TRUE,OFFSET(AC13,1,0,$D13))/SUMIF(OFFSET($B13,1,0,$D13),TRUE,OFFSET($K13,1,0,$D13))*$N11,2))</f>
        <v>#VALUE!</v>
      </c>
    </row>
    <row r="14" spans="1:29" s="44" customFormat="1" ht="12.75" customHeight="1">
      <c r="A14" s="1"/>
      <c r="B14" s="1"/>
      <c r="C14" s="1"/>
      <c r="D14" s="1"/>
      <c r="E14" s="1"/>
      <c r="F14" s="1"/>
      <c r="G14" s="1"/>
      <c r="H14" s="1"/>
      <c r="I14" s="1"/>
      <c r="J14" s="1"/>
      <c r="K14" s="1"/>
      <c r="L14" s="376" t="s">
        <v>19</v>
      </c>
      <c r="M14" s="377"/>
      <c r="N14" s="382">
        <f ca="1">IF(PO!$T$12=0,10^-12,PO!$T$12)</f>
        <v>275619.5</v>
      </c>
      <c r="O14" s="167" t="s">
        <v>142</v>
      </c>
      <c r="P14" s="205">
        <f ca="1">ROUND(P15/$N14,4)</f>
        <v>0.2035</v>
      </c>
      <c r="Q14" s="206">
        <f aca="true" t="shared" si="4" ref="Q14:W14">ROUND(Q15/$N14,4)</f>
        <v>0.2002</v>
      </c>
      <c r="R14" s="206">
        <f ca="1" t="shared" si="4"/>
        <v>0.1758</v>
      </c>
      <c r="S14" s="206">
        <f ca="1" t="shared" si="4"/>
        <v>0.1639</v>
      </c>
      <c r="T14" s="206">
        <f ca="1" t="shared" si="4"/>
        <v>0.1289</v>
      </c>
      <c r="U14" s="206">
        <f ca="1" t="shared" si="4"/>
        <v>0.1278</v>
      </c>
      <c r="V14" s="206">
        <f ca="1" t="shared" si="4"/>
        <v>0</v>
      </c>
      <c r="W14" s="206">
        <f ca="1" t="shared" si="4"/>
        <v>0</v>
      </c>
      <c r="X14" s="171"/>
      <c r="AC14" s="206">
        <f ca="1">ROUND(AC15/$N14,4)</f>
        <v>0</v>
      </c>
    </row>
    <row r="15" spans="1:29" s="44" customFormat="1" ht="12.75" customHeight="1">
      <c r="A15" s="1"/>
      <c r="B15" s="1"/>
      <c r="C15" s="1"/>
      <c r="D15" s="1"/>
      <c r="E15" s="1"/>
      <c r="F15" s="1"/>
      <c r="G15" s="1"/>
      <c r="H15" s="1"/>
      <c r="I15" s="1"/>
      <c r="J15" s="1"/>
      <c r="K15" s="1"/>
      <c r="L15" s="378"/>
      <c r="M15" s="379"/>
      <c r="N15" s="383"/>
      <c r="O15" s="156" t="s">
        <v>143</v>
      </c>
      <c r="P15" s="200">
        <f ca="1">P17-IF(ISNUMBER(O17),O17,0)</f>
        <v>56075.95</v>
      </c>
      <c r="Q15" s="150">
        <f aca="true" t="shared" si="5" ref="Q15:W15">Q17-IF(ISNUMBER(P17),P17,0)</f>
        <v>55188.39</v>
      </c>
      <c r="R15" s="150">
        <f ca="1" t="shared" si="5"/>
        <v>48442.369999999995</v>
      </c>
      <c r="S15" s="150">
        <f ca="1" t="shared" si="5"/>
        <v>45165.18000000002</v>
      </c>
      <c r="T15" s="150">
        <f ca="1" t="shared" si="5"/>
        <v>35533.04999999999</v>
      </c>
      <c r="U15" s="150">
        <f ca="1" t="shared" si="5"/>
        <v>35214.56</v>
      </c>
      <c r="V15" s="150">
        <f ca="1" t="shared" si="5"/>
        <v>0</v>
      </c>
      <c r="W15" s="150">
        <f ca="1" t="shared" si="5"/>
        <v>0</v>
      </c>
      <c r="X15" s="171"/>
      <c r="AC15" s="150">
        <f ca="1">AC17-IF(ISNUMBER(AB17),AB17,0)</f>
        <v>0</v>
      </c>
    </row>
    <row r="16" spans="1:29" s="44" customFormat="1" ht="12.75" customHeight="1">
      <c r="A16" s="1"/>
      <c r="B16" s="1"/>
      <c r="C16" s="1"/>
      <c r="D16" s="1"/>
      <c r="E16" s="1"/>
      <c r="F16" s="1"/>
      <c r="G16" s="1"/>
      <c r="H16" s="1"/>
      <c r="I16" s="1"/>
      <c r="J16" s="1"/>
      <c r="K16" s="1"/>
      <c r="L16" s="378"/>
      <c r="M16" s="379"/>
      <c r="N16" s="383"/>
      <c r="O16" s="157" t="s">
        <v>144</v>
      </c>
      <c r="P16" s="201">
        <f ca="1">ROUND(P17/$N14,4)</f>
        <v>0.2035</v>
      </c>
      <c r="Q16" s="151">
        <f aca="true" t="shared" si="6" ref="Q16:W16">ROUND(Q17/$N14,4)</f>
        <v>0.4037</v>
      </c>
      <c r="R16" s="151">
        <f ca="1" t="shared" si="6"/>
        <v>0.5794</v>
      </c>
      <c r="S16" s="151">
        <f ca="1" t="shared" si="6"/>
        <v>0.7433</v>
      </c>
      <c r="T16" s="151">
        <f ca="1" t="shared" si="6"/>
        <v>0.8722</v>
      </c>
      <c r="U16" s="151">
        <f ca="1" t="shared" si="6"/>
        <v>1</v>
      </c>
      <c r="V16" s="151">
        <f ca="1" t="shared" si="6"/>
        <v>1</v>
      </c>
      <c r="W16" s="151">
        <f ca="1" t="shared" si="6"/>
        <v>1</v>
      </c>
      <c r="X16" s="171"/>
      <c r="AC16" s="151">
        <f ca="1">ROUND(AC17/$N14,4)</f>
        <v>0</v>
      </c>
    </row>
    <row r="17" spans="1:29" s="44" customFormat="1" ht="12.75" customHeight="1">
      <c r="A17" s="114">
        <v>0</v>
      </c>
      <c r="B17" s="1"/>
      <c r="C17" s="1"/>
      <c r="D17" s="114">
        <f>ROW(D$60)-ROW(D18)</f>
        <v>42</v>
      </c>
      <c r="E17" s="1"/>
      <c r="F17" s="1"/>
      <c r="G17" s="1"/>
      <c r="H17" s="1"/>
      <c r="I17" s="1"/>
      <c r="J17" s="1"/>
      <c r="K17" s="1"/>
      <c r="L17" s="380"/>
      <c r="M17" s="381"/>
      <c r="N17" s="384"/>
      <c r="O17" s="158" t="s">
        <v>20</v>
      </c>
      <c r="P17" s="202">
        <f ca="1">SUMIF(OFFSET($C17,1,0):$C$60,1,OFFSET(P17,1,0):P$60)</f>
        <v>56075.95</v>
      </c>
      <c r="Q17" s="152">
        <f ca="1">SUMIF(OFFSET($C17,1,0):$C$60,1,OFFSET(Q17,1,0):Q$60)</f>
        <v>111264.34</v>
      </c>
      <c r="R17" s="152">
        <f ca="1">SUMIF(OFFSET($C17,1,0):$C$60,1,OFFSET(R17,1,0):R$60)</f>
        <v>159706.71</v>
      </c>
      <c r="S17" s="152">
        <f ca="1">SUMIF(OFFSET($C17,1,0):$C$60,1,OFFSET(S17,1,0):S$60)</f>
        <v>204871.89</v>
      </c>
      <c r="T17" s="152">
        <f ca="1">SUMIF(OFFSET($C17,1,0):$C$60,1,OFFSET(T17,1,0):T$60)</f>
        <v>240404.94</v>
      </c>
      <c r="U17" s="152">
        <f ca="1">SUMIF(OFFSET($C17,1,0):$C$60,1,OFFSET(U17,1,0):U$60)</f>
        <v>275619.5</v>
      </c>
      <c r="V17" s="152">
        <f ca="1">SUMIF(OFFSET($C17,1,0):$C$60,1,OFFSET(V17,1,0):V$60)</f>
        <v>275619.5</v>
      </c>
      <c r="W17" s="152">
        <f ca="1">SUMIF(OFFSET($C17,1,0):$C$60,1,OFFSET(W17,1,0):W$60)</f>
        <v>275619.5</v>
      </c>
      <c r="X17" s="171"/>
      <c r="AC17" s="152">
        <f ca="1">SUMIF(OFFSET($C17,1,0):$C$60,1,OFFSET(AC17,1,0):AC$60)</f>
        <v>0</v>
      </c>
    </row>
    <row r="18" spans="1:29" ht="14.25" customHeight="1">
      <c r="A18" s="1"/>
      <c r="B18" s="1"/>
      <c r="C18" s="1"/>
      <c r="D18" s="1"/>
      <c r="E18" s="1"/>
      <c r="F18" s="1"/>
      <c r="G18" s="1"/>
      <c r="H18" s="1"/>
      <c r="I18" s="1"/>
      <c r="J18" s="1"/>
      <c r="K18" s="1"/>
      <c r="L18" s="372" t="str">
        <f ca="1">INDEX(PO!K$12:K$57,MATCH($A20,PO!$V$12:$V$57,0))</f>
        <v>1.</v>
      </c>
      <c r="M18" s="374" t="str">
        <f ca="1">INDEX(PO!N$12:N$57,MATCH($A20,PO!$V$12:$V$57,0))</f>
        <v>Trecho da Rua Lindolfo José da Rosa</v>
      </c>
      <c r="N18" s="385">
        <f ca="1">IF(ROUND(K20,2)=0,K20,ROUND(K20,2))</f>
        <v>111487</v>
      </c>
      <c r="O18" s="203" t="s">
        <v>142</v>
      </c>
      <c r="P18" s="225">
        <v>0</v>
      </c>
      <c r="Q18" s="226">
        <f aca="true" t="shared" si="7" ref="Q18:W18">IF($B20,0,Q19-IF(ISNUMBER(P19),P19,0))</f>
        <v>0.4942319732345476</v>
      </c>
      <c r="R18" s="226">
        <f ca="1" t="shared" si="7"/>
        <v>0.0027860647429744922</v>
      </c>
      <c r="S18" s="226">
        <f ca="1" t="shared" si="7"/>
        <v>0</v>
      </c>
      <c r="T18" s="226">
        <f ca="1" t="shared" si="7"/>
        <v>0</v>
      </c>
      <c r="U18" s="226">
        <f ca="1" t="shared" si="7"/>
        <v>0</v>
      </c>
      <c r="V18" s="226">
        <f ca="1" t="shared" si="7"/>
        <v>0</v>
      </c>
      <c r="W18" s="227">
        <f ca="1" t="shared" si="7"/>
        <v>0</v>
      </c>
      <c r="X18" s="197" t="s">
        <v>106</v>
      </c>
      <c r="AC18" s="221">
        <f ca="1">IF($B20,0,AC19-IF(ISNUMBER(AB19),AB19,0))</f>
        <v>0</v>
      </c>
    </row>
    <row r="19" spans="1:29" ht="13.8">
      <c r="A19" s="1"/>
      <c r="B19" s="1"/>
      <c r="C19" s="1"/>
      <c r="D19" s="1"/>
      <c r="E19" s="1"/>
      <c r="F19" s="1"/>
      <c r="G19" s="1"/>
      <c r="H19" s="1"/>
      <c r="I19" s="1"/>
      <c r="J19" s="1"/>
      <c r="K19" s="1"/>
      <c r="L19" s="373"/>
      <c r="M19" s="375"/>
      <c r="N19" s="386"/>
      <c r="O19" s="170" t="s">
        <v>144</v>
      </c>
      <c r="P19" s="198">
        <f aca="true" t="shared" si="8" ref="P19:W19">MIN(IF($B20,P18+IF(ISNUMBER(O19),O19,0),P20/$N18),1)</f>
        <v>0.5029819620224779</v>
      </c>
      <c r="Q19" s="168">
        <f ca="1" t="shared" si="8"/>
        <v>0.9972139352570255</v>
      </c>
      <c r="R19" s="168">
        <f ca="1" t="shared" si="8"/>
        <v>1</v>
      </c>
      <c r="S19" s="168">
        <f ca="1" t="shared" si="8"/>
        <v>1</v>
      </c>
      <c r="T19" s="168">
        <f ca="1" t="shared" si="8"/>
        <v>1</v>
      </c>
      <c r="U19" s="168">
        <f ca="1" t="shared" si="8"/>
        <v>1</v>
      </c>
      <c r="V19" s="168">
        <f ca="1" t="shared" si="8"/>
        <v>1</v>
      </c>
      <c r="W19" s="168">
        <f ca="1" t="shared" si="8"/>
        <v>1</v>
      </c>
      <c r="X19" s="196"/>
      <c r="AC19" s="168">
        <f ca="1">MIN(IF($B20,AC18+IF(ISNUMBER(AB19),AB19,0),AC20/$N18),1)</f>
        <v>0</v>
      </c>
    </row>
    <row r="20" spans="1:29" ht="13.8">
      <c r="A20" s="114">
        <f ca="1">OFFSET(A20,-CFF.NumLinha,0)+1</f>
        <v>1</v>
      </c>
      <c r="B20" s="1" t="b">
        <f ca="1">$C20&gt;=OFFSET($C20,CFF.NumLinha,0)</f>
        <v>0</v>
      </c>
      <c r="C20" s="184">
        <f ca="1">INDEX(PO!A$12:A$57,MATCH($A20,PO!$V$12:$V$57,0))</f>
        <v>1</v>
      </c>
      <c r="D20" s="184">
        <f ca="1">IF(ISERROR(J20),I20,SMALL(I20:J20,1))-1</f>
        <v>14</v>
      </c>
      <c r="E20" s="184">
        <f ca="1">IF($C20=1,OFFSET(E20,-CFF.NumLinha,0)+1,OFFSET(E20,-CFF.NumLinha,0))</f>
        <v>1</v>
      </c>
      <c r="F20" s="184">
        <f ca="1">IF($C20=1,0,IF($C20=2,OFFSET(F20,-CFF.NumLinha,0)+1,OFFSET(F20,-CFF.NumLinha,0)))</f>
        <v>0</v>
      </c>
      <c r="G20" s="184">
        <f ca="1">IF(AND($C20&lt;=2,$C20&lt;&gt;0),0,IF($C20=3,OFFSET(G20,-CFF.NumLinha,0)+1,OFFSET(G20,-CFF.NumLinha,0)))</f>
        <v>0</v>
      </c>
      <c r="H20" s="184">
        <f ca="1">IF(AND($C20&lt;=3,$C20&lt;&gt;0),0,IF($C20=4,OFFSET(H20,-CFF.NumLinha,0)+1,OFFSET(H20,-CFF.NumLinha,0)))</f>
        <v>0</v>
      </c>
      <c r="I20" s="184">
        <f ca="1">MATCH(0,OFFSET($D20,1,$C20,ROW($A$60)-ROW($A20)),0)</f>
        <v>40</v>
      </c>
      <c r="J20" s="184">
        <f ca="1">MATCH(OFFSET($D20,0,$C20)+1,OFFSET($D20,1,$C20,ROW($A$60)-ROW($A20)),0)</f>
        <v>15</v>
      </c>
      <c r="K20" s="185">
        <f ca="1">ROUND(INDEX(PO!T$12:T$57,MATCH($A20,PO!$V$12:$V$57,0)),2)+10^-12</f>
        <v>111487</v>
      </c>
      <c r="L20" s="373"/>
      <c r="M20" s="375"/>
      <c r="N20" s="386"/>
      <c r="O20" s="204" t="s">
        <v>20</v>
      </c>
      <c r="P20" s="199">
        <f aca="true" ca="1" t="shared" si="9" ref="P20:W20">IF($B20,ROUND(P19*$N18,2),ROUND(SUMIF(OFFSET($B20,1,0,$D20),TRUE,OFFSET(P20,1,0,$D20))/SUMIF(OFFSET($B20,1,0,$D20),TRUE,OFFSET($K20,1,0,$D20))*$N18,2))</f>
        <v>56075.95</v>
      </c>
      <c r="Q20" s="169">
        <f ca="1" t="shared" si="9"/>
        <v>111176.39</v>
      </c>
      <c r="R20" s="169">
        <f ca="1" t="shared" si="9"/>
        <v>111487</v>
      </c>
      <c r="S20" s="169">
        <f ca="1" t="shared" si="9"/>
        <v>111487</v>
      </c>
      <c r="T20" s="169">
        <f ca="1" t="shared" si="9"/>
        <v>111487</v>
      </c>
      <c r="U20" s="169">
        <f ca="1" t="shared" si="9"/>
        <v>111487</v>
      </c>
      <c r="V20" s="169">
        <f ca="1" t="shared" si="9"/>
        <v>111487</v>
      </c>
      <c r="W20" s="207">
        <f ca="1" t="shared" si="9"/>
        <v>111487</v>
      </c>
      <c r="X20" s="196"/>
      <c r="AC20" s="169">
        <f ca="1">IF($B20,ROUND(AC19*$N18,2),ROUND(SUMIF(OFFSET($B20,1,0,$D20),TRUE,OFFSET(AC20,1,0,$D20))/SUMIF(OFFSET($B20,1,0,$D20),TRUE,OFFSET($K20,1,0,$D20))*$N18,2))</f>
        <v>0</v>
      </c>
    </row>
    <row r="21" spans="1:29" ht="14.25" customHeight="1">
      <c r="A21" s="82"/>
      <c r="B21" s="82"/>
      <c r="C21" s="82"/>
      <c r="D21" s="82"/>
      <c r="E21" s="82"/>
      <c r="F21" s="82"/>
      <c r="G21" s="82"/>
      <c r="H21" s="82"/>
      <c r="I21" s="82"/>
      <c r="J21" s="82"/>
      <c r="K21" s="82"/>
      <c r="L21" s="372" t="str">
        <f ca="1">INDEX(PO!K$12:K$57,MATCH($A23,PO!$V$12:$V$57,0))</f>
        <v>1.1.</v>
      </c>
      <c r="M21" s="374" t="str">
        <f ca="1">INDEX(PO!N$12:N$57,MATCH($A23,PO!$V$12:$V$57,0))</f>
        <v xml:space="preserve">Serviços Preliminares </v>
      </c>
      <c r="N21" s="385">
        <f aca="true" t="shared" si="10" ref="N21">IF(ROUND(K23,2)=0,K23,ROUND(K23,2))</f>
        <v>975.5</v>
      </c>
      <c r="O21" s="220" t="s">
        <v>142</v>
      </c>
      <c r="P21" s="225">
        <v>1</v>
      </c>
      <c r="Q21" s="226">
        <f aca="true" t="shared" si="11" ref="Q21">IF($B23,0,Q22-IF(ISNUMBER(P22),P22,0))</f>
        <v>0</v>
      </c>
      <c r="R21" s="226">
        <f aca="true" t="shared" si="12" ref="R21">IF($B23,0,R22-IF(ISNUMBER(Q22),Q22,0))</f>
        <v>0</v>
      </c>
      <c r="S21" s="226">
        <f aca="true" t="shared" si="13" ref="S21">IF($B23,0,S22-IF(ISNUMBER(R22),R22,0))</f>
        <v>0</v>
      </c>
      <c r="T21" s="226">
        <f aca="true" t="shared" si="14" ref="T21">IF($B23,0,T22-IF(ISNUMBER(S22),S22,0))</f>
        <v>0</v>
      </c>
      <c r="U21" s="226">
        <f aca="true" t="shared" si="15" ref="U21">IF($B23,0,U22-IF(ISNUMBER(T22),T22,0))</f>
        <v>0</v>
      </c>
      <c r="V21" s="226">
        <f aca="true" t="shared" si="16" ref="V21">IF($B23,0,V22-IF(ISNUMBER(U22),U22,0))</f>
        <v>0</v>
      </c>
      <c r="W21" s="227">
        <f aca="true" t="shared" si="17" ref="W21">IF($B23,0,W22-IF(ISNUMBER(V22),V22,0))</f>
        <v>0</v>
      </c>
      <c r="X21" s="196"/>
      <c r="AC21" s="221">
        <f aca="true" t="shared" si="18" ref="AC21">IF($B23,0,AC22-IF(ISNUMBER(AB22),AB22,0))</f>
        <v>0</v>
      </c>
    </row>
    <row r="22" spans="1:29" ht="13.8">
      <c r="A22" s="184"/>
      <c r="B22" s="184"/>
      <c r="C22" s="184"/>
      <c r="D22" s="184"/>
      <c r="E22" s="184"/>
      <c r="F22" s="184"/>
      <c r="G22" s="184"/>
      <c r="H22" s="184"/>
      <c r="I22" s="184"/>
      <c r="J22" s="184"/>
      <c r="K22" s="184"/>
      <c r="L22" s="373"/>
      <c r="M22" s="375"/>
      <c r="N22" s="386"/>
      <c r="O22" s="170" t="s">
        <v>144</v>
      </c>
      <c r="P22" s="198">
        <f aca="true" t="shared" si="19" ref="P22">MIN(IF($B23,P21+IF(ISNUMBER(O22),O22,0),P23/$N21),1)</f>
        <v>1</v>
      </c>
      <c r="Q22" s="168">
        <f aca="true" t="shared" si="20" ref="Q22">MIN(IF($B23,Q21+IF(ISNUMBER(P22),P22,0),Q23/$N21),1)</f>
        <v>1</v>
      </c>
      <c r="R22" s="168">
        <f aca="true" t="shared" si="21" ref="R22">MIN(IF($B23,R21+IF(ISNUMBER(Q22),Q22,0),R23/$N21),1)</f>
        <v>1</v>
      </c>
      <c r="S22" s="168">
        <f aca="true" t="shared" si="22" ref="S22">MIN(IF($B23,S21+IF(ISNUMBER(R22),R22,0),S23/$N21),1)</f>
        <v>1</v>
      </c>
      <c r="T22" s="168">
        <f aca="true" t="shared" si="23" ref="T22">MIN(IF($B23,T21+IF(ISNUMBER(S22),S22,0),T23/$N21),1)</f>
        <v>1</v>
      </c>
      <c r="U22" s="168">
        <f aca="true" t="shared" si="24" ref="U22">MIN(IF($B23,U21+IF(ISNUMBER(T22),T22,0),U23/$N21),1)</f>
        <v>1</v>
      </c>
      <c r="V22" s="168">
        <f aca="true" t="shared" si="25" ref="V22">MIN(IF($B23,V21+IF(ISNUMBER(U22),U22,0),V23/$N21),1)</f>
        <v>1</v>
      </c>
      <c r="W22" s="168">
        <f aca="true" t="shared" si="26" ref="W22">MIN(IF($B23,W21+IF(ISNUMBER(V22),V22,0),W23/$N21),1)</f>
        <v>1</v>
      </c>
      <c r="X22" s="196"/>
      <c r="AC22" s="168">
        <f aca="true" t="shared" si="27" ref="AC22">MIN(IF($B23,AC21+IF(ISNUMBER(AB22),AB22,0),AC23/$N21),1)</f>
        <v>0</v>
      </c>
    </row>
    <row r="23" spans="1:29" ht="13.8">
      <c r="A23" s="184">
        <f ca="1">OFFSET(A23,-CFF.NumLinha,0)+1</f>
        <v>2</v>
      </c>
      <c r="B23" s="184" t="b">
        <f ca="1">$C23&gt;=OFFSET($C23,CFF.NumLinha,0)</f>
        <v>1</v>
      </c>
      <c r="C23" s="184">
        <f ca="1">INDEX(PO!A$12:A$57,MATCH($A23,PO!$V$12:$V$57,0))</f>
        <v>2</v>
      </c>
      <c r="D23" s="184">
        <f aca="true" t="shared" si="28" ref="D23">IF(ISERROR(J23),I23,SMALL(I23:J23,1))-1</f>
        <v>2</v>
      </c>
      <c r="E23" s="184">
        <f ca="1">IF($C23=1,OFFSET(E23,-CFF.NumLinha,0)+1,OFFSET(E23,-CFF.NumLinha,0))</f>
        <v>1</v>
      </c>
      <c r="F23" s="184">
        <f ca="1">IF($C23=1,0,IF($C23=2,OFFSET(F23,-CFF.NumLinha,0)+1,OFFSET(F23,-CFF.NumLinha,0)))</f>
        <v>1</v>
      </c>
      <c r="G23" s="184">
        <f ca="1">IF(AND($C23&lt;=2,$C23&lt;&gt;0),0,IF($C23=3,OFFSET(G23,-CFF.NumLinha,0)+1,OFFSET(G23,-CFF.NumLinha,0)))</f>
        <v>0</v>
      </c>
      <c r="H23" s="184">
        <f ca="1">IF(AND($C23&lt;=3,$C23&lt;&gt;0),0,IF($C23=4,OFFSET(H23,-CFF.NumLinha,0)+1,OFFSET(H23,-CFF.NumLinha,0)))</f>
        <v>0</v>
      </c>
      <c r="I23" s="184">
        <f ca="1">MATCH(0,OFFSET($D23,1,$C23,ROW($A$60)-ROW($A23)),0)</f>
        <v>12</v>
      </c>
      <c r="J23" s="184">
        <f ca="1">MATCH(OFFSET($D23,0,$C23)+1,OFFSET($D23,1,$C23,ROW($A$60)-ROW($A23)),0)</f>
        <v>3</v>
      </c>
      <c r="K23" s="185">
        <f ca="1">ROUND(INDEX(PO!T$12:T$57,MATCH($A23,PO!$V$12:$V$57,0)),2)+10^-12</f>
        <v>975.500000000001</v>
      </c>
      <c r="L23" s="373"/>
      <c r="M23" s="375"/>
      <c r="N23" s="386"/>
      <c r="O23" s="204" t="s">
        <v>20</v>
      </c>
      <c r="P23" s="199">
        <f aca="true" ca="1" t="shared" si="29" ref="P23:W23">IF($B23,ROUND(P22*$N21,2),ROUND(SUMIF(OFFSET($B23,1,0,$D23),TRUE,OFFSET(P23,1,0,$D23))/SUMIF(OFFSET($B23,1,0,$D23),TRUE,OFFSET($K23,1,0,$D23))*$N21,2))</f>
        <v>975.5</v>
      </c>
      <c r="Q23" s="169">
        <f ca="1" t="shared" si="29"/>
        <v>975.5</v>
      </c>
      <c r="R23" s="169">
        <f ca="1" t="shared" si="29"/>
        <v>975.5</v>
      </c>
      <c r="S23" s="169">
        <f ca="1" t="shared" si="29"/>
        <v>975.5</v>
      </c>
      <c r="T23" s="169">
        <f ca="1" t="shared" si="29"/>
        <v>975.5</v>
      </c>
      <c r="U23" s="169">
        <f ca="1" t="shared" si="29"/>
        <v>975.5</v>
      </c>
      <c r="V23" s="169">
        <f ca="1" t="shared" si="29"/>
        <v>975.5</v>
      </c>
      <c r="W23" s="207">
        <f ca="1" t="shared" si="29"/>
        <v>975.5</v>
      </c>
      <c r="X23" s="196"/>
      <c r="AC23" s="169">
        <f aca="true" ca="1" t="shared" si="30" ref="AC23">IF($B23,ROUND(AC22*$N21,2),ROUND(SUMIF(OFFSET($B23,1,0,$D23),TRUE,OFFSET(AC23,1,0,$D23))/SUMIF(OFFSET($B23,1,0,$D23),TRUE,OFFSET($K23,1,0,$D23))*$N21,2))</f>
        <v>0</v>
      </c>
    </row>
    <row r="24" spans="1:29" ht="14.25" customHeight="1">
      <c r="A24" s="82"/>
      <c r="B24" s="82"/>
      <c r="C24" s="82"/>
      <c r="D24" s="82"/>
      <c r="E24" s="82"/>
      <c r="F24" s="82"/>
      <c r="G24" s="82"/>
      <c r="H24" s="82"/>
      <c r="I24" s="82"/>
      <c r="J24" s="82"/>
      <c r="K24" s="82"/>
      <c r="L24" s="372" t="str">
        <f ca="1">INDEX(PO!K$12:K$57,MATCH($A26,PO!$V$12:$V$57,0))</f>
        <v>1.2.</v>
      </c>
      <c r="M24" s="374" t="str">
        <f ca="1">INDEX(PO!N$12:N$57,MATCH($A26,PO!$V$12:$V$57,0))</f>
        <v>Microdrenagem</v>
      </c>
      <c r="N24" s="385">
        <f aca="true" t="shared" si="31" ref="N24">IF(ROUND(K26,2)=0,K26,ROUND(K26,2))</f>
        <v>24069.92</v>
      </c>
      <c r="O24" s="220" t="s">
        <v>142</v>
      </c>
      <c r="P24" s="225">
        <v>0.5</v>
      </c>
      <c r="Q24" s="226">
        <v>0.5</v>
      </c>
      <c r="R24" s="226">
        <v>0.4</v>
      </c>
      <c r="S24" s="226">
        <f aca="true" t="shared" si="32" ref="S24">IF($B26,0,S25-IF(ISNUMBER(R25),R25,0))</f>
        <v>0</v>
      </c>
      <c r="T24" s="226">
        <f aca="true" t="shared" si="33" ref="T24">IF($B26,0,T25-IF(ISNUMBER(S25),S25,0))</f>
        <v>0</v>
      </c>
      <c r="U24" s="226">
        <f aca="true" t="shared" si="34" ref="U24">IF($B26,0,U25-IF(ISNUMBER(T25),T25,0))</f>
        <v>0</v>
      </c>
      <c r="V24" s="226">
        <f aca="true" t="shared" si="35" ref="V24">IF($B26,0,V25-IF(ISNUMBER(U25),U25,0))</f>
        <v>0</v>
      </c>
      <c r="W24" s="227">
        <f aca="true" t="shared" si="36" ref="W24">IF($B26,0,W25-IF(ISNUMBER(V25),V25,0))</f>
        <v>0</v>
      </c>
      <c r="X24" s="196"/>
      <c r="AC24" s="221">
        <f aca="true" t="shared" si="37" ref="AC24">IF($B26,0,AC25-IF(ISNUMBER(AB25),AB25,0))</f>
        <v>0</v>
      </c>
    </row>
    <row r="25" spans="1:29" ht="13.8">
      <c r="A25" s="184"/>
      <c r="B25" s="184"/>
      <c r="C25" s="184"/>
      <c r="D25" s="184"/>
      <c r="E25" s="184"/>
      <c r="F25" s="184"/>
      <c r="G25" s="184"/>
      <c r="H25" s="184"/>
      <c r="I25" s="184"/>
      <c r="J25" s="184"/>
      <c r="K25" s="184"/>
      <c r="L25" s="373"/>
      <c r="M25" s="375"/>
      <c r="N25" s="386"/>
      <c r="O25" s="170" t="s">
        <v>144</v>
      </c>
      <c r="P25" s="198">
        <f aca="true" t="shared" si="38" ref="P25">MIN(IF($B26,P24+IF(ISNUMBER(O25),O25,0),P26/$N24),1)</f>
        <v>0.5</v>
      </c>
      <c r="Q25" s="168">
        <f aca="true" t="shared" si="39" ref="Q25">MIN(IF($B26,Q24+IF(ISNUMBER(P25),P25,0),Q26/$N24),1)</f>
        <v>1</v>
      </c>
      <c r="R25" s="168">
        <f aca="true" t="shared" si="40" ref="R25">MIN(IF($B26,R24+IF(ISNUMBER(Q25),Q25,0),R26/$N24),1)</f>
        <v>1</v>
      </c>
      <c r="S25" s="168">
        <f aca="true" t="shared" si="41" ref="S25">MIN(IF($B26,S24+IF(ISNUMBER(R25),R25,0),S26/$N24),1)</f>
        <v>1</v>
      </c>
      <c r="T25" s="168">
        <f aca="true" t="shared" si="42" ref="T25">MIN(IF($B26,T24+IF(ISNUMBER(S25),S25,0),T26/$N24),1)</f>
        <v>1</v>
      </c>
      <c r="U25" s="168">
        <f aca="true" t="shared" si="43" ref="U25">MIN(IF($B26,U24+IF(ISNUMBER(T25),T25,0),U26/$N24),1)</f>
        <v>1</v>
      </c>
      <c r="V25" s="168">
        <f aca="true" t="shared" si="44" ref="V25">MIN(IF($B26,V24+IF(ISNUMBER(U25),U25,0),V26/$N24),1)</f>
        <v>1</v>
      </c>
      <c r="W25" s="168">
        <f aca="true" t="shared" si="45" ref="W25">MIN(IF($B26,W24+IF(ISNUMBER(V25),V25,0),W26/$N24),1)</f>
        <v>1</v>
      </c>
      <c r="X25" s="196"/>
      <c r="AC25" s="168">
        <f aca="true" t="shared" si="46" ref="AC25">MIN(IF($B26,AC24+IF(ISNUMBER(AB25),AB25,0),AC26/$N24),1)</f>
        <v>0</v>
      </c>
    </row>
    <row r="26" spans="1:29" ht="13.8">
      <c r="A26" s="184">
        <f ca="1">OFFSET(A26,-CFF.NumLinha,0)+1</f>
        <v>3</v>
      </c>
      <c r="B26" s="184" t="b">
        <f ca="1">$C26&gt;=OFFSET($C26,CFF.NumLinha,0)</f>
        <v>1</v>
      </c>
      <c r="C26" s="184">
        <f ca="1">INDEX(PO!A$12:A$57,MATCH($A26,PO!$V$12:$V$57,0))</f>
        <v>2</v>
      </c>
      <c r="D26" s="184">
        <f aca="true" t="shared" si="47" ref="D26">IF(ISERROR(J26),I26,SMALL(I26:J26,1))-1</f>
        <v>2</v>
      </c>
      <c r="E26" s="184">
        <f ca="1">IF($C26=1,OFFSET(E26,-CFF.NumLinha,0)+1,OFFSET(E26,-CFF.NumLinha,0))</f>
        <v>1</v>
      </c>
      <c r="F26" s="184">
        <f ca="1">IF($C26=1,0,IF($C26=2,OFFSET(F26,-CFF.NumLinha,0)+1,OFFSET(F26,-CFF.NumLinha,0)))</f>
        <v>2</v>
      </c>
      <c r="G26" s="184">
        <f ca="1">IF(AND($C26&lt;=2,$C26&lt;&gt;0),0,IF($C26=3,OFFSET(G26,-CFF.NumLinha,0)+1,OFFSET(G26,-CFF.NumLinha,0)))</f>
        <v>0</v>
      </c>
      <c r="H26" s="184">
        <f ca="1">IF(AND($C26&lt;=3,$C26&lt;&gt;0),0,IF($C26=4,OFFSET(H26,-CFF.NumLinha,0)+1,OFFSET(H26,-CFF.NumLinha,0)))</f>
        <v>0</v>
      </c>
      <c r="I26" s="184">
        <f ca="1">MATCH(0,OFFSET($D26,1,$C26,ROW($A$60)-ROW($A26)),0)</f>
        <v>9</v>
      </c>
      <c r="J26" s="184">
        <f ca="1">MATCH(OFFSET($D26,0,$C26)+1,OFFSET($D26,1,$C26,ROW($A$60)-ROW($A26)),0)</f>
        <v>3</v>
      </c>
      <c r="K26" s="185">
        <f ca="1">ROUND(INDEX(PO!T$12:T$57,MATCH($A26,PO!$V$12:$V$57,0)),2)+10^-12</f>
        <v>24069.92</v>
      </c>
      <c r="L26" s="373"/>
      <c r="M26" s="375"/>
      <c r="N26" s="386"/>
      <c r="O26" s="204" t="s">
        <v>20</v>
      </c>
      <c r="P26" s="199">
        <f aca="true" ca="1" t="shared" si="48" ref="P26:W26">IF($B26,ROUND(P25*$N24,2),ROUND(SUMIF(OFFSET($B26,1,0,$D26),TRUE,OFFSET(P26,1,0,$D26))/SUMIF(OFFSET($B26,1,0,$D26),TRUE,OFFSET($K26,1,0,$D26))*$N24,2))</f>
        <v>12034.96</v>
      </c>
      <c r="Q26" s="169">
        <f ca="1" t="shared" si="48"/>
        <v>24069.92</v>
      </c>
      <c r="R26" s="169">
        <f ca="1" t="shared" si="48"/>
        <v>24069.92</v>
      </c>
      <c r="S26" s="169">
        <f ca="1" t="shared" si="48"/>
        <v>24069.92</v>
      </c>
      <c r="T26" s="169">
        <f ca="1" t="shared" si="48"/>
        <v>24069.92</v>
      </c>
      <c r="U26" s="169">
        <f ca="1" t="shared" si="48"/>
        <v>24069.92</v>
      </c>
      <c r="V26" s="169">
        <f ca="1" t="shared" si="48"/>
        <v>24069.92</v>
      </c>
      <c r="W26" s="207">
        <f ca="1" t="shared" si="48"/>
        <v>24069.92</v>
      </c>
      <c r="X26" s="196"/>
      <c r="AC26" s="169">
        <f aca="true" ca="1" t="shared" si="49" ref="AC26">IF($B26,ROUND(AC25*$N24,2),ROUND(SUMIF(OFFSET($B26,1,0,$D26),TRUE,OFFSET(AC26,1,0,$D26))/SUMIF(OFFSET($B26,1,0,$D26),TRUE,OFFSET($K26,1,0,$D26))*$N24,2))</f>
        <v>0</v>
      </c>
    </row>
    <row r="27" spans="1:29" ht="14.25" customHeight="1">
      <c r="A27" s="82"/>
      <c r="B27" s="82"/>
      <c r="C27" s="82"/>
      <c r="D27" s="82"/>
      <c r="E27" s="82"/>
      <c r="F27" s="82"/>
      <c r="G27" s="82"/>
      <c r="H27" s="82"/>
      <c r="I27" s="82"/>
      <c r="J27" s="82"/>
      <c r="K27" s="82"/>
      <c r="L27" s="372" t="str">
        <f ca="1">INDEX(PO!K$12:K$57,MATCH($A29,PO!$V$12:$V$57,0))</f>
        <v>1.3.</v>
      </c>
      <c r="M27" s="374" t="str">
        <f ca="1">INDEX(PO!N$12:N$57,MATCH($A29,PO!$V$12:$V$57,0))</f>
        <v>Pavimentação</v>
      </c>
      <c r="N27" s="385">
        <f aca="true" t="shared" si="50" ref="N27">IF(ROUND(K29,2)=0,K29,ROUND(K29,2))</f>
        <v>86130.97</v>
      </c>
      <c r="O27" s="220" t="s">
        <v>142</v>
      </c>
      <c r="P27" s="225">
        <v>0.5</v>
      </c>
      <c r="Q27" s="226">
        <v>0.5</v>
      </c>
      <c r="R27" s="226">
        <v>0.2</v>
      </c>
      <c r="S27" s="226">
        <v>0.2</v>
      </c>
      <c r="T27" s="226">
        <v>0.4</v>
      </c>
      <c r="U27" s="226">
        <v>0.1</v>
      </c>
      <c r="V27" s="226">
        <f aca="true" t="shared" si="51" ref="V27">IF($B29,0,V28-IF(ISNUMBER(U28),U28,0))</f>
        <v>0</v>
      </c>
      <c r="W27" s="227">
        <f aca="true" t="shared" si="52" ref="W27">IF($B29,0,W28-IF(ISNUMBER(V28),V28,0))</f>
        <v>0</v>
      </c>
      <c r="X27" s="196"/>
      <c r="AC27" s="221">
        <f aca="true" t="shared" si="53" ref="AC27">IF($B29,0,AC28-IF(ISNUMBER(AB28),AB28,0))</f>
        <v>0</v>
      </c>
    </row>
    <row r="28" spans="1:29" ht="13.8">
      <c r="A28" s="184"/>
      <c r="B28" s="184"/>
      <c r="C28" s="184"/>
      <c r="D28" s="184"/>
      <c r="E28" s="184"/>
      <c r="F28" s="184"/>
      <c r="G28" s="184"/>
      <c r="H28" s="184"/>
      <c r="I28" s="184"/>
      <c r="J28" s="184"/>
      <c r="K28" s="184"/>
      <c r="L28" s="373"/>
      <c r="M28" s="375"/>
      <c r="N28" s="386"/>
      <c r="O28" s="170" t="s">
        <v>144</v>
      </c>
      <c r="P28" s="198">
        <f aca="true" t="shared" si="54" ref="P28">MIN(IF($B29,P27+IF(ISNUMBER(O28),O28,0),P29/$N27),1)</f>
        <v>0.5</v>
      </c>
      <c r="Q28" s="168">
        <f aca="true" t="shared" si="55" ref="Q28">MIN(IF($B29,Q27+IF(ISNUMBER(P28),P28,0),Q29/$N27),1)</f>
        <v>1</v>
      </c>
      <c r="R28" s="168">
        <f aca="true" t="shared" si="56" ref="R28">MIN(IF($B29,R27+IF(ISNUMBER(Q28),Q28,0),R29/$N27),1)</f>
        <v>1</v>
      </c>
      <c r="S28" s="168">
        <f aca="true" t="shared" si="57" ref="S28">MIN(IF($B29,S27+IF(ISNUMBER(R28),R28,0),S29/$N27),1)</f>
        <v>1</v>
      </c>
      <c r="T28" s="168">
        <f aca="true" t="shared" si="58" ref="T28">MIN(IF($B29,T27+IF(ISNUMBER(S28),S28,0),T29/$N27),1)</f>
        <v>1</v>
      </c>
      <c r="U28" s="168">
        <f aca="true" t="shared" si="59" ref="U28">MIN(IF($B29,U27+IF(ISNUMBER(T28),T28,0),U29/$N27),1)</f>
        <v>1</v>
      </c>
      <c r="V28" s="168">
        <f aca="true" t="shared" si="60" ref="V28">MIN(IF($B29,V27+IF(ISNUMBER(U28),U28,0),V29/$N27),1)</f>
        <v>1</v>
      </c>
      <c r="W28" s="168">
        <f aca="true" t="shared" si="61" ref="W28">MIN(IF($B29,W27+IF(ISNUMBER(V28),V28,0),W29/$N27),1)</f>
        <v>1</v>
      </c>
      <c r="X28" s="196"/>
      <c r="AC28" s="168">
        <f aca="true" t="shared" si="62" ref="AC28">MIN(IF($B29,AC27+IF(ISNUMBER(AB28),AB28,0),AC29/$N27),1)</f>
        <v>0</v>
      </c>
    </row>
    <row r="29" spans="1:29" ht="13.8">
      <c r="A29" s="184">
        <f ca="1">OFFSET(A29,-CFF.NumLinha,0)+1</f>
        <v>4</v>
      </c>
      <c r="B29" s="184" t="b">
        <f ca="1">$C29&gt;=OFFSET($C29,CFF.NumLinha,0)</f>
        <v>1</v>
      </c>
      <c r="C29" s="184">
        <f ca="1">INDEX(PO!A$12:A$57,MATCH($A29,PO!$V$12:$V$57,0))</f>
        <v>2</v>
      </c>
      <c r="D29" s="184">
        <f aca="true" t="shared" si="63" ref="D29">IF(ISERROR(J29),I29,SMALL(I29:J29,1))-1</f>
        <v>2</v>
      </c>
      <c r="E29" s="184">
        <f ca="1">IF($C29=1,OFFSET(E29,-CFF.NumLinha,0)+1,OFFSET(E29,-CFF.NumLinha,0))</f>
        <v>1</v>
      </c>
      <c r="F29" s="184">
        <f ca="1">IF($C29=1,0,IF($C29=2,OFFSET(F29,-CFF.NumLinha,0)+1,OFFSET(F29,-CFF.NumLinha,0)))</f>
        <v>3</v>
      </c>
      <c r="G29" s="184">
        <f ca="1">IF(AND($C29&lt;=2,$C29&lt;&gt;0),0,IF($C29=3,OFFSET(G29,-CFF.NumLinha,0)+1,OFFSET(G29,-CFF.NumLinha,0)))</f>
        <v>0</v>
      </c>
      <c r="H29" s="184">
        <f ca="1">IF(AND($C29&lt;=3,$C29&lt;&gt;0),0,IF($C29=4,OFFSET(H29,-CFF.NumLinha,0)+1,OFFSET(H29,-CFF.NumLinha,0)))</f>
        <v>0</v>
      </c>
      <c r="I29" s="184">
        <f ca="1">MATCH(0,OFFSET($D29,1,$C29,ROW($A$60)-ROW($A29)),0)</f>
        <v>6</v>
      </c>
      <c r="J29" s="184">
        <f ca="1">MATCH(OFFSET($D29,0,$C29)+1,OFFSET($D29,1,$C29,ROW($A$60)-ROW($A29)),0)</f>
        <v>3</v>
      </c>
      <c r="K29" s="185">
        <f ca="1">ROUND(INDEX(PO!T$12:T$57,MATCH($A29,PO!$V$12:$V$57,0)),2)+10^-12</f>
        <v>86130.97</v>
      </c>
      <c r="L29" s="373"/>
      <c r="M29" s="375"/>
      <c r="N29" s="386"/>
      <c r="O29" s="204" t="s">
        <v>20</v>
      </c>
      <c r="P29" s="199">
        <f aca="true" ca="1" t="shared" si="64" ref="P29:W29">IF($B29,ROUND(P28*$N27,2),ROUND(SUMIF(OFFSET($B29,1,0,$D29),TRUE,OFFSET(P29,1,0,$D29))/SUMIF(OFFSET($B29,1,0,$D29),TRUE,OFFSET($K29,1,0,$D29))*$N27,2))</f>
        <v>43065.49</v>
      </c>
      <c r="Q29" s="169">
        <f ca="1" t="shared" si="64"/>
        <v>86130.97</v>
      </c>
      <c r="R29" s="169">
        <f ca="1" t="shared" si="64"/>
        <v>86130.97</v>
      </c>
      <c r="S29" s="169">
        <f ca="1" t="shared" si="64"/>
        <v>86130.97</v>
      </c>
      <c r="T29" s="169">
        <f ca="1" t="shared" si="64"/>
        <v>86130.97</v>
      </c>
      <c r="U29" s="169">
        <f ca="1" t="shared" si="64"/>
        <v>86130.97</v>
      </c>
      <c r="V29" s="169">
        <f ca="1" t="shared" si="64"/>
        <v>86130.97</v>
      </c>
      <c r="W29" s="207">
        <f ca="1" t="shared" si="64"/>
        <v>86130.97</v>
      </c>
      <c r="X29" s="196"/>
      <c r="AC29" s="169">
        <f aca="true" ca="1" t="shared" si="65" ref="AC29">IF($B29,ROUND(AC28*$N27,2),ROUND(SUMIF(OFFSET($B29,1,0,$D29),TRUE,OFFSET(AC29,1,0,$D29))/SUMIF(OFFSET($B29,1,0,$D29),TRUE,OFFSET($K29,1,0,$D29))*$N27,2))</f>
        <v>0</v>
      </c>
    </row>
    <row r="30" spans="1:29" ht="14.25" customHeight="1">
      <c r="A30" s="82"/>
      <c r="B30" s="82"/>
      <c r="C30" s="82"/>
      <c r="D30" s="82"/>
      <c r="E30" s="82"/>
      <c r="F30" s="82"/>
      <c r="G30" s="82"/>
      <c r="H30" s="82"/>
      <c r="I30" s="82"/>
      <c r="J30" s="82"/>
      <c r="K30" s="82"/>
      <c r="L30" s="372" t="str">
        <f ca="1">INDEX(PO!K$12:K$57,MATCH($A32,PO!$V$12:$V$57,0))</f>
        <v>1.4.</v>
      </c>
      <c r="M30" s="374" t="str">
        <f ca="1">INDEX(PO!N$12:N$57,MATCH($A32,PO!$V$12:$V$57,0))</f>
        <v>Sinalização</v>
      </c>
      <c r="N30" s="385">
        <f aca="true" t="shared" si="66" ref="N30">IF(ROUND(K32,2)=0,K32,ROUND(K32,2))</f>
        <v>310.61</v>
      </c>
      <c r="O30" s="220" t="s">
        <v>142</v>
      </c>
      <c r="P30" s="225">
        <v>0</v>
      </c>
      <c r="Q30" s="226">
        <v>0</v>
      </c>
      <c r="R30" s="226">
        <v>1</v>
      </c>
      <c r="S30" s="226">
        <v>0.3</v>
      </c>
      <c r="T30" s="226">
        <v>0.4</v>
      </c>
      <c r="U30" s="226">
        <v>0.2</v>
      </c>
      <c r="V30" s="226">
        <v>0.2</v>
      </c>
      <c r="W30" s="227">
        <v>0.5</v>
      </c>
      <c r="X30" s="196"/>
      <c r="AC30" s="221">
        <f aca="true" t="shared" si="67" ref="AC30">IF($B32,0,AC31-IF(ISNUMBER(AB31),AB31,0))</f>
        <v>0</v>
      </c>
    </row>
    <row r="31" spans="1:29" ht="13.8">
      <c r="A31" s="184"/>
      <c r="B31" s="184"/>
      <c r="C31" s="184"/>
      <c r="D31" s="184"/>
      <c r="E31" s="184"/>
      <c r="F31" s="184"/>
      <c r="G31" s="184"/>
      <c r="H31" s="184"/>
      <c r="I31" s="184"/>
      <c r="J31" s="184"/>
      <c r="K31" s="184"/>
      <c r="L31" s="373"/>
      <c r="M31" s="375"/>
      <c r="N31" s="386"/>
      <c r="O31" s="170" t="s">
        <v>144</v>
      </c>
      <c r="P31" s="198">
        <f aca="true" t="shared" si="68" ref="P31">MIN(IF($B32,P30+IF(ISNUMBER(O31),O31,0),P32/$N30),1)</f>
        <v>0</v>
      </c>
      <c r="Q31" s="168">
        <f aca="true" t="shared" si="69" ref="Q31">MIN(IF($B32,Q30+IF(ISNUMBER(P31),P31,0),Q32/$N30),1)</f>
        <v>0</v>
      </c>
      <c r="R31" s="168">
        <f aca="true" t="shared" si="70" ref="R31">MIN(IF($B32,R30+IF(ISNUMBER(Q31),Q31,0),R32/$N30),1)</f>
        <v>1</v>
      </c>
      <c r="S31" s="168">
        <f aca="true" t="shared" si="71" ref="S31">MIN(IF($B32,S30+IF(ISNUMBER(R31),R31,0),S32/$N30),1)</f>
        <v>1</v>
      </c>
      <c r="T31" s="168">
        <f aca="true" t="shared" si="72" ref="T31">MIN(IF($B32,T30+IF(ISNUMBER(S31),S31,0),T32/$N30),1)</f>
        <v>1</v>
      </c>
      <c r="U31" s="168">
        <f aca="true" t="shared" si="73" ref="U31">MIN(IF($B32,U30+IF(ISNUMBER(T31),T31,0),U32/$N30),1)</f>
        <v>1</v>
      </c>
      <c r="V31" s="168">
        <f aca="true" t="shared" si="74" ref="V31">MIN(IF($B32,V30+IF(ISNUMBER(U31),U31,0),V32/$N30),1)</f>
        <v>1</v>
      </c>
      <c r="W31" s="168">
        <f aca="true" t="shared" si="75" ref="W31">MIN(IF($B32,W30+IF(ISNUMBER(V31),V31,0),W32/$N30),1)</f>
        <v>1</v>
      </c>
      <c r="X31" s="196"/>
      <c r="AC31" s="168">
        <f aca="true" t="shared" si="76" ref="AC31">MIN(IF($B32,AC30+IF(ISNUMBER(AB31),AB31,0),AC32/$N30),1)</f>
        <v>0</v>
      </c>
    </row>
    <row r="32" spans="1:29" ht="13.8">
      <c r="A32" s="184">
        <f ca="1">OFFSET(A32,-CFF.NumLinha,0)+1</f>
        <v>5</v>
      </c>
      <c r="B32" s="184" t="b">
        <f ca="1">$C32&gt;=OFFSET($C32,CFF.NumLinha,0)</f>
        <v>1</v>
      </c>
      <c r="C32" s="184">
        <f ca="1">INDEX(PO!A$12:A$57,MATCH($A32,PO!$V$12:$V$57,0))</f>
        <v>2</v>
      </c>
      <c r="D32" s="184">
        <f aca="true" t="shared" si="77" ref="D32">IF(ISERROR(J32),I32,SMALL(I32:J32,1))-1</f>
        <v>2</v>
      </c>
      <c r="E32" s="184">
        <f ca="1">IF($C32=1,OFFSET(E32,-CFF.NumLinha,0)+1,OFFSET(E32,-CFF.NumLinha,0))</f>
        <v>1</v>
      </c>
      <c r="F32" s="184">
        <f ca="1">IF($C32=1,0,IF($C32=2,OFFSET(F32,-CFF.NumLinha,0)+1,OFFSET(F32,-CFF.NumLinha,0)))</f>
        <v>4</v>
      </c>
      <c r="G32" s="184">
        <f ca="1">IF(AND($C32&lt;=2,$C32&lt;&gt;0),0,IF($C32=3,OFFSET(G32,-CFF.NumLinha,0)+1,OFFSET(G32,-CFF.NumLinha,0)))</f>
        <v>0</v>
      </c>
      <c r="H32" s="184">
        <f ca="1">IF(AND($C32&lt;=3,$C32&lt;&gt;0),0,IF($C32=4,OFFSET(H32,-CFF.NumLinha,0)+1,OFFSET(H32,-CFF.NumLinha,0)))</f>
        <v>0</v>
      </c>
      <c r="I32" s="184">
        <f ca="1">MATCH(0,OFFSET($D32,1,$C32,ROW($A$60)-ROW($A32)),0)</f>
        <v>3</v>
      </c>
      <c r="J32" s="184" t="e">
        <f ca="1">MATCH(OFFSET($D32,0,$C32)+1,OFFSET($D32,1,$C32,ROW($A$60)-ROW($A32)),0)</f>
        <v>#N/A</v>
      </c>
      <c r="K32" s="185">
        <f ca="1">ROUND(INDEX(PO!T$12:T$57,MATCH($A32,PO!$V$12:$V$57,0)),2)+10^-12</f>
        <v>310.61000000000104</v>
      </c>
      <c r="L32" s="373"/>
      <c r="M32" s="375"/>
      <c r="N32" s="386"/>
      <c r="O32" s="204" t="s">
        <v>20</v>
      </c>
      <c r="P32" s="199">
        <f aca="true" ca="1" t="shared" si="78" ref="P32:W32">IF($B32,ROUND(P31*$N30,2),ROUND(SUMIF(OFFSET($B32,1,0,$D32),TRUE,OFFSET(P32,1,0,$D32))/SUMIF(OFFSET($B32,1,0,$D32),TRUE,OFFSET($K32,1,0,$D32))*$N30,2))</f>
        <v>0</v>
      </c>
      <c r="Q32" s="169">
        <f ca="1" t="shared" si="78"/>
        <v>0</v>
      </c>
      <c r="R32" s="169">
        <f ca="1" t="shared" si="78"/>
        <v>310.61</v>
      </c>
      <c r="S32" s="169">
        <f ca="1" t="shared" si="78"/>
        <v>310.61</v>
      </c>
      <c r="T32" s="169">
        <f ca="1" t="shared" si="78"/>
        <v>310.61</v>
      </c>
      <c r="U32" s="169">
        <f ca="1" t="shared" si="78"/>
        <v>310.61</v>
      </c>
      <c r="V32" s="169">
        <f ca="1" t="shared" si="78"/>
        <v>310.61</v>
      </c>
      <c r="W32" s="207">
        <f ca="1" t="shared" si="78"/>
        <v>310.61</v>
      </c>
      <c r="X32" s="196"/>
      <c r="AC32" s="169">
        <f aca="true" ca="1" t="shared" si="79" ref="AC32">IF($B32,ROUND(AC31*$N30,2),ROUND(SUMIF(OFFSET($B32,1,0,$D32),TRUE,OFFSET(AC32,1,0,$D32))/SUMIF(OFFSET($B32,1,0,$D32),TRUE,OFFSET($K32,1,0,$D32))*$N30,2))</f>
        <v>0</v>
      </c>
    </row>
    <row r="33" spans="1:29" ht="14.25" customHeight="1">
      <c r="A33" s="82"/>
      <c r="B33" s="82"/>
      <c r="C33" s="82"/>
      <c r="D33" s="82"/>
      <c r="E33" s="82"/>
      <c r="F33" s="82"/>
      <c r="G33" s="82"/>
      <c r="H33" s="82"/>
      <c r="I33" s="82"/>
      <c r="J33" s="82"/>
      <c r="K33" s="82"/>
      <c r="L33" s="372" t="str">
        <f ca="1">INDEX(PO!K$12:K$57,MATCH($A35,PO!$V$12:$V$57,0))</f>
        <v>2.</v>
      </c>
      <c r="M33" s="374" t="str">
        <f ca="1">INDEX(PO!N$12:N$57,MATCH($A35,PO!$V$12:$V$57,0))</f>
        <v>Trecho da Rua Aristóteles Borges</v>
      </c>
      <c r="N33" s="385">
        <f aca="true" t="shared" si="80" ref="N33">IF(ROUND(K35,2)=0,K35,ROUND(K35,2))</f>
        <v>93384.89</v>
      </c>
      <c r="O33" s="220" t="s">
        <v>142</v>
      </c>
      <c r="P33" s="225">
        <f aca="true" t="shared" si="81" ref="P33">IF($B35,0,P34-IF(ISNUMBER(O34),O34,0))</f>
        <v>0</v>
      </c>
      <c r="Q33" s="226">
        <f aca="true" t="shared" si="82" ref="Q33">IF($B35,0,Q34-IF(ISNUMBER(P34),P34,0))</f>
        <v>0.0009418011843243592</v>
      </c>
      <c r="R33" s="226">
        <v>1</v>
      </c>
      <c r="S33" s="226">
        <v>0</v>
      </c>
      <c r="T33" s="226">
        <v>1</v>
      </c>
      <c r="U33" s="226">
        <f aca="true" t="shared" si="83" ref="U33">IF($B35,0,U34-IF(ISNUMBER(T34),T34,0))</f>
        <v>0</v>
      </c>
      <c r="V33" s="226">
        <v>0.8</v>
      </c>
      <c r="W33" s="227">
        <v>0.1</v>
      </c>
      <c r="X33" s="196"/>
      <c r="AC33" s="221">
        <f aca="true" t="shared" si="84" ref="AC33">IF($B35,0,AC34-IF(ISNUMBER(AB34),AB34,0))</f>
        <v>0</v>
      </c>
    </row>
    <row r="34" spans="1:29" ht="13.8">
      <c r="A34" s="184"/>
      <c r="B34" s="184"/>
      <c r="C34" s="184"/>
      <c r="D34" s="184"/>
      <c r="E34" s="184"/>
      <c r="F34" s="184"/>
      <c r="G34" s="184"/>
      <c r="H34" s="184"/>
      <c r="I34" s="184"/>
      <c r="J34" s="184"/>
      <c r="K34" s="184"/>
      <c r="L34" s="373"/>
      <c r="M34" s="375"/>
      <c r="N34" s="386"/>
      <c r="O34" s="170" t="s">
        <v>144</v>
      </c>
      <c r="P34" s="198">
        <f aca="true" t="shared" si="85" ref="P34">MIN(IF($B35,P33+IF(ISNUMBER(O34),O34,0),P35/$N33),1)</f>
        <v>0</v>
      </c>
      <c r="Q34" s="168">
        <f aca="true" t="shared" si="86" ref="Q34">MIN(IF($B35,Q33+IF(ISNUMBER(P34),P34,0),Q35/$N33),1)</f>
        <v>0.0009418011843243592</v>
      </c>
      <c r="R34" s="168">
        <f aca="true" t="shared" si="87" ref="R34">MIN(IF($B35,R33+IF(ISNUMBER(Q34),Q34,0),R35/$N33),1)</f>
        <v>0.5163545194517014</v>
      </c>
      <c r="S34" s="168">
        <f aca="true" t="shared" si="88" ref="S34">MIN(IF($B35,S33+IF(ISNUMBER(R34),R34,0),S35/$N33),1)</f>
        <v>1</v>
      </c>
      <c r="T34" s="168">
        <f aca="true" t="shared" si="89" ref="T34">MIN(IF($B35,T33+IF(ISNUMBER(S34),S34,0),T35/$N33),1)</f>
        <v>1</v>
      </c>
      <c r="U34" s="168">
        <f aca="true" t="shared" si="90" ref="U34">MIN(IF($B35,U33+IF(ISNUMBER(T34),T34,0),U35/$N33),1)</f>
        <v>1</v>
      </c>
      <c r="V34" s="168">
        <f aca="true" t="shared" si="91" ref="V34">MIN(IF($B35,V33+IF(ISNUMBER(U34),U34,0),V35/$N33),1)</f>
        <v>1</v>
      </c>
      <c r="W34" s="168">
        <f aca="true" t="shared" si="92" ref="W34">MIN(IF($B35,W33+IF(ISNUMBER(V34),V34,0),W35/$N33),1)</f>
        <v>1</v>
      </c>
      <c r="X34" s="196"/>
      <c r="AC34" s="168">
        <f aca="true" t="shared" si="93" ref="AC34">MIN(IF($B35,AC33+IF(ISNUMBER(AB34),AB34,0),AC35/$N33),1)</f>
        <v>0</v>
      </c>
    </row>
    <row r="35" spans="1:29" ht="13.8">
      <c r="A35" s="184">
        <f ca="1">OFFSET(A35,-CFF.NumLinha,0)+1</f>
        <v>6</v>
      </c>
      <c r="B35" s="184" t="b">
        <f ca="1">$C35&gt;=OFFSET($C35,CFF.NumLinha,0)</f>
        <v>0</v>
      </c>
      <c r="C35" s="184">
        <f ca="1">INDEX(PO!A$12:A$57,MATCH($A35,PO!$V$12:$V$57,0))</f>
        <v>1</v>
      </c>
      <c r="D35" s="184">
        <f aca="true" t="shared" si="94" ref="D35">IF(ISERROR(J35),I35,SMALL(I35:J35,1))-1</f>
        <v>14</v>
      </c>
      <c r="E35" s="184">
        <f ca="1">IF($C35=1,OFFSET(E35,-CFF.NumLinha,0)+1,OFFSET(E35,-CFF.NumLinha,0))</f>
        <v>2</v>
      </c>
      <c r="F35" s="184">
        <f ca="1">IF($C35=1,0,IF($C35=2,OFFSET(F35,-CFF.NumLinha,0)+1,OFFSET(F35,-CFF.NumLinha,0)))</f>
        <v>0</v>
      </c>
      <c r="G35" s="184">
        <f ca="1">IF(AND($C35&lt;=2,$C35&lt;&gt;0),0,IF($C35=3,OFFSET(G35,-CFF.NumLinha,0)+1,OFFSET(G35,-CFF.NumLinha,0)))</f>
        <v>0</v>
      </c>
      <c r="H35" s="184">
        <f ca="1">IF(AND($C35&lt;=3,$C35&lt;&gt;0),0,IF($C35=4,OFFSET(H35,-CFF.NumLinha,0)+1,OFFSET(H35,-CFF.NumLinha,0)))</f>
        <v>0</v>
      </c>
      <c r="I35" s="184">
        <f ca="1">MATCH(0,OFFSET($D35,1,$C35,ROW($A$60)-ROW($A35)),0)</f>
        <v>25</v>
      </c>
      <c r="J35" s="184">
        <f ca="1">MATCH(OFFSET($D35,0,$C35)+1,OFFSET($D35,1,$C35,ROW($A$60)-ROW($A35)),0)</f>
        <v>15</v>
      </c>
      <c r="K35" s="185">
        <f ca="1">ROUND(INDEX(PO!T$12:T$57,MATCH($A35,PO!$V$12:$V$57,0)),2)+10^-12</f>
        <v>93384.89</v>
      </c>
      <c r="L35" s="373"/>
      <c r="M35" s="375"/>
      <c r="N35" s="386"/>
      <c r="O35" s="204" t="s">
        <v>20</v>
      </c>
      <c r="P35" s="199">
        <f aca="true" ca="1" t="shared" si="95" ref="P35:W35">IF($B35,ROUND(P34*$N33,2),ROUND(SUMIF(OFFSET($B35,1,0,$D35),TRUE,OFFSET(P35,1,0,$D35))/SUMIF(OFFSET($B35,1,0,$D35),TRUE,OFFSET($K35,1,0,$D35))*$N33,2))</f>
        <v>0</v>
      </c>
      <c r="Q35" s="169">
        <f ca="1" t="shared" si="95"/>
        <v>87.95</v>
      </c>
      <c r="R35" s="169">
        <f ca="1" t="shared" si="95"/>
        <v>48219.71</v>
      </c>
      <c r="S35" s="169">
        <f ca="1" t="shared" si="95"/>
        <v>93384.89</v>
      </c>
      <c r="T35" s="169">
        <f ca="1" t="shared" si="95"/>
        <v>93384.89</v>
      </c>
      <c r="U35" s="169">
        <f ca="1" t="shared" si="95"/>
        <v>93384.89</v>
      </c>
      <c r="V35" s="169">
        <f ca="1" t="shared" si="95"/>
        <v>93384.89</v>
      </c>
      <c r="W35" s="207">
        <f ca="1" t="shared" si="95"/>
        <v>93384.89</v>
      </c>
      <c r="X35" s="196"/>
      <c r="AC35" s="169">
        <f aca="true" ca="1" t="shared" si="96" ref="AC35">IF($B35,ROUND(AC34*$N33,2),ROUND(SUMIF(OFFSET($B35,1,0,$D35),TRUE,OFFSET(AC35,1,0,$D35))/SUMIF(OFFSET($B35,1,0,$D35),TRUE,OFFSET($K35,1,0,$D35))*$N33,2))</f>
        <v>0</v>
      </c>
    </row>
    <row r="36" spans="1:29" ht="14.25" customHeight="1">
      <c r="A36" s="82"/>
      <c r="B36" s="82"/>
      <c r="C36" s="82"/>
      <c r="D36" s="82"/>
      <c r="E36" s="82"/>
      <c r="F36" s="82"/>
      <c r="G36" s="82"/>
      <c r="H36" s="82"/>
      <c r="I36" s="82"/>
      <c r="J36" s="82"/>
      <c r="K36" s="82"/>
      <c r="L36" s="372" t="str">
        <f ca="1">INDEX(PO!K$12:K$57,MATCH($A38,PO!$V$12:$V$57,0))</f>
        <v>2.1.</v>
      </c>
      <c r="M36" s="374" t="str">
        <f ca="1">INDEX(PO!N$12:N$57,MATCH($A38,PO!$V$12:$V$57,0))</f>
        <v xml:space="preserve">Serviços Preliminares </v>
      </c>
      <c r="N36" s="385">
        <f aca="true" t="shared" si="97" ref="N36">IF(ROUND(K38,2)=0,K38,ROUND(K38,2))</f>
        <v>175.89</v>
      </c>
      <c r="O36" s="220" t="s">
        <v>142</v>
      </c>
      <c r="P36" s="225">
        <f aca="true" t="shared" si="98" ref="P36">IF($B38,0,P37-IF(ISNUMBER(O37),O37,0))</f>
        <v>0</v>
      </c>
      <c r="Q36" s="226">
        <v>0.5</v>
      </c>
      <c r="R36" s="226">
        <v>0.5</v>
      </c>
      <c r="S36" s="226">
        <f aca="true" t="shared" si="99" ref="S36">IF($B38,0,S37-IF(ISNUMBER(R37),R37,0))</f>
        <v>0</v>
      </c>
      <c r="T36" s="226">
        <f aca="true" t="shared" si="100" ref="T36">IF($B38,0,T37-IF(ISNUMBER(S37),S37,0))</f>
        <v>0</v>
      </c>
      <c r="U36" s="226">
        <f aca="true" t="shared" si="101" ref="U36">IF($B38,0,U37-IF(ISNUMBER(T37),T37,0))</f>
        <v>0</v>
      </c>
      <c r="V36" s="226">
        <f aca="true" t="shared" si="102" ref="V36">IF($B38,0,V37-IF(ISNUMBER(U37),U37,0))</f>
        <v>0</v>
      </c>
      <c r="W36" s="227">
        <f aca="true" t="shared" si="103" ref="W36">IF($B38,0,W37-IF(ISNUMBER(V37),V37,0))</f>
        <v>0</v>
      </c>
      <c r="X36" s="196"/>
      <c r="AC36" s="221">
        <f aca="true" t="shared" si="104" ref="AC36">IF($B38,0,AC37-IF(ISNUMBER(AB37),AB37,0))</f>
        <v>0</v>
      </c>
    </row>
    <row r="37" spans="1:29" ht="13.8">
      <c r="A37" s="184"/>
      <c r="B37" s="184"/>
      <c r="C37" s="184"/>
      <c r="D37" s="184"/>
      <c r="E37" s="184"/>
      <c r="F37" s="184"/>
      <c r="G37" s="184"/>
      <c r="H37" s="184"/>
      <c r="I37" s="184"/>
      <c r="J37" s="184"/>
      <c r="K37" s="184"/>
      <c r="L37" s="373"/>
      <c r="M37" s="375"/>
      <c r="N37" s="386"/>
      <c r="O37" s="170" t="s">
        <v>144</v>
      </c>
      <c r="P37" s="198">
        <f aca="true" t="shared" si="105" ref="P37">MIN(IF($B38,P36+IF(ISNUMBER(O37),O37,0),P38/$N36),1)</f>
        <v>0</v>
      </c>
      <c r="Q37" s="168">
        <f aca="true" t="shared" si="106" ref="Q37">MIN(IF($B38,Q36+IF(ISNUMBER(P37),P37,0),Q38/$N36),1)</f>
        <v>0.5</v>
      </c>
      <c r="R37" s="168">
        <f aca="true" t="shared" si="107" ref="R37">MIN(IF($B38,R36+IF(ISNUMBER(Q37),Q37,0),R38/$N36),1)</f>
        <v>1</v>
      </c>
      <c r="S37" s="168">
        <f aca="true" t="shared" si="108" ref="S37">MIN(IF($B38,S36+IF(ISNUMBER(R37),R37,0),S38/$N36),1)</f>
        <v>1</v>
      </c>
      <c r="T37" s="168">
        <f aca="true" t="shared" si="109" ref="T37">MIN(IF($B38,T36+IF(ISNUMBER(S37),S37,0),T38/$N36),1)</f>
        <v>1</v>
      </c>
      <c r="U37" s="168">
        <f aca="true" t="shared" si="110" ref="U37">MIN(IF($B38,U36+IF(ISNUMBER(T37),T37,0),U38/$N36),1)</f>
        <v>1</v>
      </c>
      <c r="V37" s="168">
        <f aca="true" t="shared" si="111" ref="V37">MIN(IF($B38,V36+IF(ISNUMBER(U37),U37,0),V38/$N36),1)</f>
        <v>1</v>
      </c>
      <c r="W37" s="168">
        <f aca="true" t="shared" si="112" ref="W37">MIN(IF($B38,W36+IF(ISNUMBER(V37),V37,0),W38/$N36),1)</f>
        <v>1</v>
      </c>
      <c r="X37" s="196"/>
      <c r="AC37" s="168">
        <f aca="true" t="shared" si="113" ref="AC37">MIN(IF($B38,AC36+IF(ISNUMBER(AB37),AB37,0),AC38/$N36),1)</f>
        <v>0</v>
      </c>
    </row>
    <row r="38" spans="1:29" ht="13.8">
      <c r="A38" s="184">
        <f ca="1">OFFSET(A38,-CFF.NumLinha,0)+1</f>
        <v>7</v>
      </c>
      <c r="B38" s="184" t="b">
        <f ca="1">$C38&gt;=OFFSET($C38,CFF.NumLinha,0)</f>
        <v>1</v>
      </c>
      <c r="C38" s="184">
        <f ca="1">INDEX(PO!A$12:A$57,MATCH($A38,PO!$V$12:$V$57,0))</f>
        <v>2</v>
      </c>
      <c r="D38" s="184">
        <f aca="true" t="shared" si="114" ref="D38">IF(ISERROR(J38),I38,SMALL(I38:J38,1))-1</f>
        <v>2</v>
      </c>
      <c r="E38" s="184">
        <f ca="1">IF($C38=1,OFFSET(E38,-CFF.NumLinha,0)+1,OFFSET(E38,-CFF.NumLinha,0))</f>
        <v>2</v>
      </c>
      <c r="F38" s="184">
        <f ca="1">IF($C38=1,0,IF($C38=2,OFFSET(F38,-CFF.NumLinha,0)+1,OFFSET(F38,-CFF.NumLinha,0)))</f>
        <v>1</v>
      </c>
      <c r="G38" s="184">
        <f ca="1">IF(AND($C38&lt;=2,$C38&lt;&gt;0),0,IF($C38=3,OFFSET(G38,-CFF.NumLinha,0)+1,OFFSET(G38,-CFF.NumLinha,0)))</f>
        <v>0</v>
      </c>
      <c r="H38" s="184">
        <f ca="1">IF(AND($C38&lt;=3,$C38&lt;&gt;0),0,IF($C38=4,OFFSET(H38,-CFF.NumLinha,0)+1,OFFSET(H38,-CFF.NumLinha,0)))</f>
        <v>0</v>
      </c>
      <c r="I38" s="184">
        <f ca="1">MATCH(0,OFFSET($D38,1,$C38,ROW($A$60)-ROW($A38)),0)</f>
        <v>12</v>
      </c>
      <c r="J38" s="184">
        <f ca="1">MATCH(OFFSET($D38,0,$C38)+1,OFFSET($D38,1,$C38,ROW($A$60)-ROW($A38)),0)</f>
        <v>3</v>
      </c>
      <c r="K38" s="185">
        <f ca="1">ROUND(INDEX(PO!T$12:T$57,MATCH($A38,PO!$V$12:$V$57,0)),2)+10^-12</f>
        <v>175.89000000000098</v>
      </c>
      <c r="L38" s="373"/>
      <c r="M38" s="375"/>
      <c r="N38" s="386"/>
      <c r="O38" s="204" t="s">
        <v>20</v>
      </c>
      <c r="P38" s="199">
        <f aca="true" ca="1" t="shared" si="115" ref="P38:W38">IF($B38,ROUND(P37*$N36,2),ROUND(SUMIF(OFFSET($B38,1,0,$D38),TRUE,OFFSET(P38,1,0,$D38))/SUMIF(OFFSET($B38,1,0,$D38),TRUE,OFFSET($K38,1,0,$D38))*$N36,2))</f>
        <v>0</v>
      </c>
      <c r="Q38" s="169">
        <f ca="1" t="shared" si="115"/>
        <v>87.95</v>
      </c>
      <c r="R38" s="169">
        <f ca="1" t="shared" si="115"/>
        <v>175.89</v>
      </c>
      <c r="S38" s="169">
        <f ca="1" t="shared" si="115"/>
        <v>175.89</v>
      </c>
      <c r="T38" s="169">
        <f ca="1" t="shared" si="115"/>
        <v>175.89</v>
      </c>
      <c r="U38" s="169">
        <f ca="1" t="shared" si="115"/>
        <v>175.89</v>
      </c>
      <c r="V38" s="169">
        <f ca="1" t="shared" si="115"/>
        <v>175.89</v>
      </c>
      <c r="W38" s="207">
        <f ca="1" t="shared" si="115"/>
        <v>175.89</v>
      </c>
      <c r="X38" s="196"/>
      <c r="AC38" s="169">
        <f aca="true" ca="1" t="shared" si="116" ref="AC38">IF($B38,ROUND(AC37*$N36,2),ROUND(SUMIF(OFFSET($B38,1,0,$D38),TRUE,OFFSET(AC38,1,0,$D38))/SUMIF(OFFSET($B38,1,0,$D38),TRUE,OFFSET($K38,1,0,$D38))*$N36,2))</f>
        <v>0</v>
      </c>
    </row>
    <row r="39" spans="1:29" ht="14.25" customHeight="1">
      <c r="A39" s="82"/>
      <c r="B39" s="82"/>
      <c r="C39" s="82"/>
      <c r="D39" s="82"/>
      <c r="E39" s="82"/>
      <c r="F39" s="82"/>
      <c r="G39" s="82"/>
      <c r="H39" s="82"/>
      <c r="I39" s="82"/>
      <c r="J39" s="82"/>
      <c r="K39" s="82"/>
      <c r="L39" s="372" t="str">
        <f ca="1">INDEX(PO!K$12:K$57,MATCH($A41,PO!$V$12:$V$57,0))</f>
        <v>2.2.</v>
      </c>
      <c r="M39" s="374" t="str">
        <f ca="1">INDEX(PO!N$12:N$57,MATCH($A41,PO!$V$12:$V$57,0))</f>
        <v>Microdrenagem</v>
      </c>
      <c r="N39" s="385">
        <f aca="true" t="shared" si="117" ref="N39">IF(ROUND(K41,2)=0,K41,ROUND(K41,2))</f>
        <v>3189.24</v>
      </c>
      <c r="O39" s="220" t="s">
        <v>142</v>
      </c>
      <c r="P39" s="225">
        <f aca="true" t="shared" si="118" ref="P39">IF($B41,0,P40-IF(ISNUMBER(O40),O40,0))</f>
        <v>0</v>
      </c>
      <c r="Q39" s="226">
        <f aca="true" t="shared" si="119" ref="Q39">IF($B41,0,Q40-IF(ISNUMBER(P40),P40,0))</f>
        <v>0</v>
      </c>
      <c r="R39" s="226">
        <v>1</v>
      </c>
      <c r="S39" s="226">
        <f aca="true" t="shared" si="120" ref="S39">IF($B41,0,S40-IF(ISNUMBER(R40),R40,0))</f>
        <v>0</v>
      </c>
      <c r="T39" s="226">
        <f aca="true" t="shared" si="121" ref="T39">IF($B41,0,T40-IF(ISNUMBER(S40),S40,0))</f>
        <v>0</v>
      </c>
      <c r="U39" s="226">
        <f aca="true" t="shared" si="122" ref="U39">IF($B41,0,U40-IF(ISNUMBER(T40),T40,0))</f>
        <v>0</v>
      </c>
      <c r="V39" s="226">
        <f aca="true" t="shared" si="123" ref="V39">IF($B41,0,V40-IF(ISNUMBER(U40),U40,0))</f>
        <v>0</v>
      </c>
      <c r="W39" s="227">
        <f aca="true" t="shared" si="124" ref="W39">IF($B41,0,W40-IF(ISNUMBER(V40),V40,0))</f>
        <v>0</v>
      </c>
      <c r="X39" s="196"/>
      <c r="AC39" s="221">
        <f aca="true" t="shared" si="125" ref="AC39">IF($B41,0,AC40-IF(ISNUMBER(AB40),AB40,0))</f>
        <v>0</v>
      </c>
    </row>
    <row r="40" spans="1:29" ht="13.8">
      <c r="A40" s="184"/>
      <c r="B40" s="184"/>
      <c r="C40" s="184"/>
      <c r="D40" s="184"/>
      <c r="E40" s="184"/>
      <c r="F40" s="184"/>
      <c r="G40" s="184"/>
      <c r="H40" s="184"/>
      <c r="I40" s="184"/>
      <c r="J40" s="184"/>
      <c r="K40" s="184"/>
      <c r="L40" s="373"/>
      <c r="M40" s="375"/>
      <c r="N40" s="386"/>
      <c r="O40" s="170" t="s">
        <v>144</v>
      </c>
      <c r="P40" s="198">
        <f aca="true" t="shared" si="126" ref="P40">MIN(IF($B41,P39+IF(ISNUMBER(O40),O40,0),P41/$N39),1)</f>
        <v>0</v>
      </c>
      <c r="Q40" s="168">
        <f aca="true" t="shared" si="127" ref="Q40">MIN(IF($B41,Q39+IF(ISNUMBER(P40),P40,0),Q41/$N39),1)</f>
        <v>0</v>
      </c>
      <c r="R40" s="168">
        <f aca="true" t="shared" si="128" ref="R40">MIN(IF($B41,R39+IF(ISNUMBER(Q40),Q40,0),R41/$N39),1)</f>
        <v>1</v>
      </c>
      <c r="S40" s="168">
        <f aca="true" t="shared" si="129" ref="S40">MIN(IF($B41,S39+IF(ISNUMBER(R40),R40,0),S41/$N39),1)</f>
        <v>1</v>
      </c>
      <c r="T40" s="168">
        <f aca="true" t="shared" si="130" ref="T40">MIN(IF($B41,T39+IF(ISNUMBER(S40),S40,0),T41/$N39),1)</f>
        <v>1</v>
      </c>
      <c r="U40" s="168">
        <f aca="true" t="shared" si="131" ref="U40">MIN(IF($B41,U39+IF(ISNUMBER(T40),T40,0),U41/$N39),1)</f>
        <v>1</v>
      </c>
      <c r="V40" s="168">
        <f aca="true" t="shared" si="132" ref="V40">MIN(IF($B41,V39+IF(ISNUMBER(U40),U40,0),V41/$N39),1)</f>
        <v>1</v>
      </c>
      <c r="W40" s="168">
        <f aca="true" t="shared" si="133" ref="W40">MIN(IF($B41,W39+IF(ISNUMBER(V40),V40,0),W41/$N39),1)</f>
        <v>1</v>
      </c>
      <c r="X40" s="196"/>
      <c r="AC40" s="168">
        <f aca="true" t="shared" si="134" ref="AC40">MIN(IF($B41,AC39+IF(ISNUMBER(AB40),AB40,0),AC41/$N39),1)</f>
        <v>0</v>
      </c>
    </row>
    <row r="41" spans="1:29" ht="13.8">
      <c r="A41" s="184">
        <f ca="1">OFFSET(A41,-CFF.NumLinha,0)+1</f>
        <v>8</v>
      </c>
      <c r="B41" s="184" t="b">
        <f ca="1">$C41&gt;=OFFSET($C41,CFF.NumLinha,0)</f>
        <v>1</v>
      </c>
      <c r="C41" s="184">
        <f ca="1">INDEX(PO!A$12:A$57,MATCH($A41,PO!$V$12:$V$57,0))</f>
        <v>2</v>
      </c>
      <c r="D41" s="184">
        <f aca="true" t="shared" si="135" ref="D41">IF(ISERROR(J41),I41,SMALL(I41:J41,1))-1</f>
        <v>2</v>
      </c>
      <c r="E41" s="184">
        <f ca="1">IF($C41=1,OFFSET(E41,-CFF.NumLinha,0)+1,OFFSET(E41,-CFF.NumLinha,0))</f>
        <v>2</v>
      </c>
      <c r="F41" s="184">
        <f ca="1">IF($C41=1,0,IF($C41=2,OFFSET(F41,-CFF.NumLinha,0)+1,OFFSET(F41,-CFF.NumLinha,0)))</f>
        <v>2</v>
      </c>
      <c r="G41" s="184">
        <f ca="1">IF(AND($C41&lt;=2,$C41&lt;&gt;0),0,IF($C41=3,OFFSET(G41,-CFF.NumLinha,0)+1,OFFSET(G41,-CFF.NumLinha,0)))</f>
        <v>0</v>
      </c>
      <c r="H41" s="184">
        <f ca="1">IF(AND($C41&lt;=3,$C41&lt;&gt;0),0,IF($C41=4,OFFSET(H41,-CFF.NumLinha,0)+1,OFFSET(H41,-CFF.NumLinha,0)))</f>
        <v>0</v>
      </c>
      <c r="I41" s="184">
        <f ca="1">MATCH(0,OFFSET($D41,1,$C41,ROW($A$60)-ROW($A41)),0)</f>
        <v>9</v>
      </c>
      <c r="J41" s="184">
        <f ca="1">MATCH(OFFSET($D41,0,$C41)+1,OFFSET($D41,1,$C41,ROW($A$60)-ROW($A41)),0)</f>
        <v>3</v>
      </c>
      <c r="K41" s="185">
        <f ca="1">ROUND(INDEX(PO!T$12:T$57,MATCH($A41,PO!$V$12:$V$57,0)),2)+10^-12</f>
        <v>3189.2400000000007</v>
      </c>
      <c r="L41" s="373"/>
      <c r="M41" s="375"/>
      <c r="N41" s="386"/>
      <c r="O41" s="204" t="s">
        <v>20</v>
      </c>
      <c r="P41" s="199">
        <f aca="true" ca="1" t="shared" si="136" ref="P41:W41">IF($B41,ROUND(P40*$N39,2),ROUND(SUMIF(OFFSET($B41,1,0,$D41),TRUE,OFFSET(P41,1,0,$D41))/SUMIF(OFFSET($B41,1,0,$D41),TRUE,OFFSET($K41,1,0,$D41))*$N39,2))</f>
        <v>0</v>
      </c>
      <c r="Q41" s="169">
        <f ca="1" t="shared" si="136"/>
        <v>0</v>
      </c>
      <c r="R41" s="169">
        <f ca="1" t="shared" si="136"/>
        <v>3189.24</v>
      </c>
      <c r="S41" s="169">
        <f ca="1" t="shared" si="136"/>
        <v>3189.24</v>
      </c>
      <c r="T41" s="169">
        <f ca="1" t="shared" si="136"/>
        <v>3189.24</v>
      </c>
      <c r="U41" s="169">
        <f ca="1" t="shared" si="136"/>
        <v>3189.24</v>
      </c>
      <c r="V41" s="169">
        <f ca="1" t="shared" si="136"/>
        <v>3189.24</v>
      </c>
      <c r="W41" s="207">
        <f ca="1" t="shared" si="136"/>
        <v>3189.24</v>
      </c>
      <c r="X41" s="196"/>
      <c r="AC41" s="169">
        <f aca="true" ca="1" t="shared" si="137" ref="AC41">IF($B41,ROUND(AC40*$N39,2),ROUND(SUMIF(OFFSET($B41,1,0,$D41),TRUE,OFFSET(AC41,1,0,$D41))/SUMIF(OFFSET($B41,1,0,$D41),TRUE,OFFSET($K41,1,0,$D41))*$N39,2))</f>
        <v>0</v>
      </c>
    </row>
    <row r="42" spans="1:29" ht="14.25" customHeight="1">
      <c r="A42" s="82"/>
      <c r="B42" s="82"/>
      <c r="C42" s="82"/>
      <c r="D42" s="82"/>
      <c r="E42" s="82"/>
      <c r="F42" s="82"/>
      <c r="G42" s="82"/>
      <c r="H42" s="82"/>
      <c r="I42" s="82"/>
      <c r="J42" s="82"/>
      <c r="K42" s="82"/>
      <c r="L42" s="372" t="str">
        <f ca="1">INDEX(PO!K$12:K$57,MATCH($A44,PO!$V$12:$V$57,0))</f>
        <v>2.3.</v>
      </c>
      <c r="M42" s="374" t="str">
        <f ca="1">INDEX(PO!N$12:N$57,MATCH($A44,PO!$V$12:$V$57,0))</f>
        <v>Pavimentação</v>
      </c>
      <c r="N42" s="385">
        <f aca="true" t="shared" si="138" ref="N42">IF(ROUND(K44,2)=0,K44,ROUND(K44,2))</f>
        <v>89709.15</v>
      </c>
      <c r="O42" s="220" t="s">
        <v>142</v>
      </c>
      <c r="P42" s="225">
        <f aca="true" t="shared" si="139" ref="P42">IF($B44,0,P43-IF(ISNUMBER(O43),O43,0))</f>
        <v>0</v>
      </c>
      <c r="Q42" s="226">
        <f aca="true" t="shared" si="140" ref="Q42">IF($B44,0,Q43-IF(ISNUMBER(P43),P43,0))</f>
        <v>0</v>
      </c>
      <c r="R42" s="226">
        <v>0.5</v>
      </c>
      <c r="S42" s="226">
        <v>0.5</v>
      </c>
      <c r="T42" s="226">
        <f aca="true" t="shared" si="141" ref="T42">IF($B44,0,T43-IF(ISNUMBER(S43),S43,0))</f>
        <v>0</v>
      </c>
      <c r="U42" s="226">
        <f aca="true" t="shared" si="142" ref="U42">IF($B44,0,U43-IF(ISNUMBER(T43),T43,0))</f>
        <v>0</v>
      </c>
      <c r="V42" s="226">
        <f aca="true" t="shared" si="143" ref="V42">IF($B44,0,V43-IF(ISNUMBER(U43),U43,0))</f>
        <v>0</v>
      </c>
      <c r="W42" s="227">
        <f aca="true" t="shared" si="144" ref="W42">IF($B44,0,W43-IF(ISNUMBER(V43),V43,0))</f>
        <v>0</v>
      </c>
      <c r="X42" s="196"/>
      <c r="AC42" s="221">
        <f aca="true" t="shared" si="145" ref="AC42">IF($B44,0,AC43-IF(ISNUMBER(AB43),AB43,0))</f>
        <v>0</v>
      </c>
    </row>
    <row r="43" spans="1:29" ht="13.8">
      <c r="A43" s="184"/>
      <c r="B43" s="184"/>
      <c r="C43" s="184"/>
      <c r="D43" s="184"/>
      <c r="E43" s="184"/>
      <c r="F43" s="184"/>
      <c r="G43" s="184"/>
      <c r="H43" s="184"/>
      <c r="I43" s="184"/>
      <c r="J43" s="184"/>
      <c r="K43" s="184"/>
      <c r="L43" s="373"/>
      <c r="M43" s="375"/>
      <c r="N43" s="386"/>
      <c r="O43" s="170" t="s">
        <v>144</v>
      </c>
      <c r="P43" s="198">
        <f aca="true" t="shared" si="146" ref="P43">MIN(IF($B44,P42+IF(ISNUMBER(O43),O43,0),P44/$N42),1)</f>
        <v>0</v>
      </c>
      <c r="Q43" s="168">
        <f aca="true" t="shared" si="147" ref="Q43">MIN(IF($B44,Q42+IF(ISNUMBER(P43),P43,0),Q44/$N42),1)</f>
        <v>0</v>
      </c>
      <c r="R43" s="168">
        <f aca="true" t="shared" si="148" ref="R43">MIN(IF($B44,R42+IF(ISNUMBER(Q43),Q43,0),R44/$N42),1)</f>
        <v>0.5</v>
      </c>
      <c r="S43" s="168">
        <f aca="true" t="shared" si="149" ref="S43">MIN(IF($B44,S42+IF(ISNUMBER(R43),R43,0),S44/$N42),1)</f>
        <v>1</v>
      </c>
      <c r="T43" s="168">
        <f aca="true" t="shared" si="150" ref="T43">MIN(IF($B44,T42+IF(ISNUMBER(S43),S43,0),T44/$N42),1)</f>
        <v>1</v>
      </c>
      <c r="U43" s="168">
        <f aca="true" t="shared" si="151" ref="U43">MIN(IF($B44,U42+IF(ISNUMBER(T43),T43,0),U44/$N42),1)</f>
        <v>1</v>
      </c>
      <c r="V43" s="168">
        <f aca="true" t="shared" si="152" ref="V43">MIN(IF($B44,V42+IF(ISNUMBER(U43),U43,0),V44/$N42),1)</f>
        <v>1</v>
      </c>
      <c r="W43" s="168">
        <f aca="true" t="shared" si="153" ref="W43">MIN(IF($B44,W42+IF(ISNUMBER(V43),V43,0),W44/$N42),1)</f>
        <v>1</v>
      </c>
      <c r="X43" s="196"/>
      <c r="AC43" s="168">
        <f aca="true" t="shared" si="154" ref="AC43">MIN(IF($B44,AC42+IF(ISNUMBER(AB43),AB43,0),AC44/$N42),1)</f>
        <v>0</v>
      </c>
    </row>
    <row r="44" spans="1:29" ht="13.8">
      <c r="A44" s="184">
        <f ca="1">OFFSET(A44,-CFF.NumLinha,0)+1</f>
        <v>9</v>
      </c>
      <c r="B44" s="184" t="b">
        <f ca="1">$C44&gt;=OFFSET($C44,CFF.NumLinha,0)</f>
        <v>1</v>
      </c>
      <c r="C44" s="184">
        <f ca="1">INDEX(PO!A$12:A$57,MATCH($A44,PO!$V$12:$V$57,0))</f>
        <v>2</v>
      </c>
      <c r="D44" s="184">
        <f aca="true" t="shared" si="155" ref="D44">IF(ISERROR(J44),I44,SMALL(I44:J44,1))-1</f>
        <v>2</v>
      </c>
      <c r="E44" s="184">
        <f ca="1">IF($C44=1,OFFSET(E44,-CFF.NumLinha,0)+1,OFFSET(E44,-CFF.NumLinha,0))</f>
        <v>2</v>
      </c>
      <c r="F44" s="184">
        <f ca="1">IF($C44=1,0,IF($C44=2,OFFSET(F44,-CFF.NumLinha,0)+1,OFFSET(F44,-CFF.NumLinha,0)))</f>
        <v>3</v>
      </c>
      <c r="G44" s="184">
        <f ca="1">IF(AND($C44&lt;=2,$C44&lt;&gt;0),0,IF($C44=3,OFFSET(G44,-CFF.NumLinha,0)+1,OFFSET(G44,-CFF.NumLinha,0)))</f>
        <v>0</v>
      </c>
      <c r="H44" s="184">
        <f ca="1">IF(AND($C44&lt;=3,$C44&lt;&gt;0),0,IF($C44=4,OFFSET(H44,-CFF.NumLinha,0)+1,OFFSET(H44,-CFF.NumLinha,0)))</f>
        <v>0</v>
      </c>
      <c r="I44" s="184">
        <f ca="1">MATCH(0,OFFSET($D44,1,$C44,ROW($A$60)-ROW($A44)),0)</f>
        <v>6</v>
      </c>
      <c r="J44" s="184">
        <f ca="1">MATCH(OFFSET($D44,0,$C44)+1,OFFSET($D44,1,$C44,ROW($A$60)-ROW($A44)),0)</f>
        <v>3</v>
      </c>
      <c r="K44" s="185">
        <f ca="1">ROUND(INDEX(PO!T$12:T$57,MATCH($A44,PO!$V$12:$V$57,0)),2)+10^-12</f>
        <v>89709.15</v>
      </c>
      <c r="L44" s="373"/>
      <c r="M44" s="375"/>
      <c r="N44" s="386"/>
      <c r="O44" s="204" t="s">
        <v>20</v>
      </c>
      <c r="P44" s="199">
        <f aca="true" ca="1" t="shared" si="156" ref="P44:W44">IF($B44,ROUND(P43*$N42,2),ROUND(SUMIF(OFFSET($B44,1,0,$D44),TRUE,OFFSET(P44,1,0,$D44))/SUMIF(OFFSET($B44,1,0,$D44),TRUE,OFFSET($K44,1,0,$D44))*$N42,2))</f>
        <v>0</v>
      </c>
      <c r="Q44" s="169">
        <f ca="1" t="shared" si="156"/>
        <v>0</v>
      </c>
      <c r="R44" s="169">
        <f ca="1" t="shared" si="156"/>
        <v>44854.58</v>
      </c>
      <c r="S44" s="169">
        <f ca="1" t="shared" si="156"/>
        <v>89709.15</v>
      </c>
      <c r="T44" s="169">
        <f ca="1" t="shared" si="156"/>
        <v>89709.15</v>
      </c>
      <c r="U44" s="169">
        <f ca="1" t="shared" si="156"/>
        <v>89709.15</v>
      </c>
      <c r="V44" s="169">
        <f ca="1" t="shared" si="156"/>
        <v>89709.15</v>
      </c>
      <c r="W44" s="207">
        <f ca="1" t="shared" si="156"/>
        <v>89709.15</v>
      </c>
      <c r="X44" s="196"/>
      <c r="AC44" s="169">
        <f aca="true" ca="1" t="shared" si="157" ref="AC44">IF($B44,ROUND(AC43*$N42,2),ROUND(SUMIF(OFFSET($B44,1,0,$D44),TRUE,OFFSET(AC44,1,0,$D44))/SUMIF(OFFSET($B44,1,0,$D44),TRUE,OFFSET($K44,1,0,$D44))*$N42,2))</f>
        <v>0</v>
      </c>
    </row>
    <row r="45" spans="1:29" ht="14.25" customHeight="1">
      <c r="A45" s="82"/>
      <c r="B45" s="82"/>
      <c r="C45" s="82"/>
      <c r="D45" s="82"/>
      <c r="E45" s="82"/>
      <c r="F45" s="82"/>
      <c r="G45" s="82"/>
      <c r="H45" s="82"/>
      <c r="I45" s="82"/>
      <c r="J45" s="82"/>
      <c r="K45" s="82"/>
      <c r="L45" s="372" t="str">
        <f ca="1">INDEX(PO!K$12:K$57,MATCH($A47,PO!$V$12:$V$57,0))</f>
        <v>2.4.</v>
      </c>
      <c r="M45" s="374" t="str">
        <f ca="1">INDEX(PO!N$12:N$57,MATCH($A47,PO!$V$12:$V$57,0))</f>
        <v>Sinalização</v>
      </c>
      <c r="N45" s="385">
        <f aca="true" t="shared" si="158" ref="N45">IF(ROUND(K47,2)=0,K47,ROUND(K47,2))</f>
        <v>310.61</v>
      </c>
      <c r="O45" s="220" t="s">
        <v>142</v>
      </c>
      <c r="P45" s="225">
        <f aca="true" t="shared" si="159" ref="P45">IF($B47,0,P46-IF(ISNUMBER(O46),O46,0))</f>
        <v>0</v>
      </c>
      <c r="Q45" s="226">
        <f aca="true" t="shared" si="160" ref="Q45">IF($B47,0,Q46-IF(ISNUMBER(P46),P46,0))</f>
        <v>0</v>
      </c>
      <c r="R45" s="226">
        <v>0</v>
      </c>
      <c r="S45" s="226">
        <v>1</v>
      </c>
      <c r="T45" s="226">
        <f aca="true" t="shared" si="161" ref="T45">IF($B47,0,T46-IF(ISNUMBER(S46),S46,0))</f>
        <v>0</v>
      </c>
      <c r="U45" s="226">
        <f aca="true" t="shared" si="162" ref="U45">IF($B47,0,U46-IF(ISNUMBER(T46),T46,0))</f>
        <v>0</v>
      </c>
      <c r="V45" s="226">
        <f aca="true" t="shared" si="163" ref="V45">IF($B47,0,V46-IF(ISNUMBER(U46),U46,0))</f>
        <v>0</v>
      </c>
      <c r="W45" s="227">
        <f aca="true" t="shared" si="164" ref="W45">IF($B47,0,W46-IF(ISNUMBER(V46),V46,0))</f>
        <v>0</v>
      </c>
      <c r="X45" s="196"/>
      <c r="AC45" s="221">
        <f aca="true" t="shared" si="165" ref="AC45">IF($B47,0,AC46-IF(ISNUMBER(AB46),AB46,0))</f>
        <v>0</v>
      </c>
    </row>
    <row r="46" spans="1:29" ht="13.8">
      <c r="A46" s="184"/>
      <c r="B46" s="184"/>
      <c r="C46" s="184"/>
      <c r="D46" s="184"/>
      <c r="E46" s="184"/>
      <c r="F46" s="184"/>
      <c r="G46" s="184"/>
      <c r="H46" s="184"/>
      <c r="I46" s="184"/>
      <c r="J46" s="184"/>
      <c r="K46" s="184"/>
      <c r="L46" s="373"/>
      <c r="M46" s="375"/>
      <c r="N46" s="386"/>
      <c r="O46" s="170" t="s">
        <v>144</v>
      </c>
      <c r="P46" s="198">
        <f aca="true" t="shared" si="166" ref="P46">MIN(IF($B47,P45+IF(ISNUMBER(O46),O46,0),P47/$N45),1)</f>
        <v>0</v>
      </c>
      <c r="Q46" s="168">
        <f aca="true" t="shared" si="167" ref="Q46">MIN(IF($B47,Q45+IF(ISNUMBER(P46),P46,0),Q47/$N45),1)</f>
        <v>0</v>
      </c>
      <c r="R46" s="168">
        <f aca="true" t="shared" si="168" ref="R46">MIN(IF($B47,R45+IF(ISNUMBER(Q46),Q46,0),R47/$N45),1)</f>
        <v>0</v>
      </c>
      <c r="S46" s="168">
        <f aca="true" t="shared" si="169" ref="S46">MIN(IF($B47,S45+IF(ISNUMBER(R46),R46,0),S47/$N45),1)</f>
        <v>1</v>
      </c>
      <c r="T46" s="168">
        <f aca="true" t="shared" si="170" ref="T46">MIN(IF($B47,T45+IF(ISNUMBER(S46),S46,0),T47/$N45),1)</f>
        <v>1</v>
      </c>
      <c r="U46" s="168">
        <f aca="true" t="shared" si="171" ref="U46">MIN(IF($B47,U45+IF(ISNUMBER(T46),T46,0),U47/$N45),1)</f>
        <v>1</v>
      </c>
      <c r="V46" s="168">
        <f aca="true" t="shared" si="172" ref="V46">MIN(IF($B47,V45+IF(ISNUMBER(U46),U46,0),V47/$N45),1)</f>
        <v>1</v>
      </c>
      <c r="W46" s="168">
        <f aca="true" t="shared" si="173" ref="W46">MIN(IF($B47,W45+IF(ISNUMBER(V46),V46,0),W47/$N45),1)</f>
        <v>1</v>
      </c>
      <c r="X46" s="196"/>
      <c r="AC46" s="168">
        <f aca="true" t="shared" si="174" ref="AC46">MIN(IF($B47,AC45+IF(ISNUMBER(AB46),AB46,0),AC47/$N45),1)</f>
        <v>0</v>
      </c>
    </row>
    <row r="47" spans="1:29" ht="13.8">
      <c r="A47" s="184">
        <f ca="1">OFFSET(A47,-CFF.NumLinha,0)+1</f>
        <v>10</v>
      </c>
      <c r="B47" s="184" t="b">
        <f ca="1">$C47&gt;=OFFSET($C47,CFF.NumLinha,0)</f>
        <v>1</v>
      </c>
      <c r="C47" s="184">
        <f ca="1">INDEX(PO!A$12:A$57,MATCH($A47,PO!$V$12:$V$57,0))</f>
        <v>2</v>
      </c>
      <c r="D47" s="184">
        <f aca="true" t="shared" si="175" ref="D47">IF(ISERROR(J47),I47,SMALL(I47:J47,1))-1</f>
        <v>2</v>
      </c>
      <c r="E47" s="184">
        <f ca="1">IF($C47=1,OFFSET(E47,-CFF.NumLinha,0)+1,OFFSET(E47,-CFF.NumLinha,0))</f>
        <v>2</v>
      </c>
      <c r="F47" s="184">
        <f ca="1">IF($C47=1,0,IF($C47=2,OFFSET(F47,-CFF.NumLinha,0)+1,OFFSET(F47,-CFF.NumLinha,0)))</f>
        <v>4</v>
      </c>
      <c r="G47" s="184">
        <f ca="1">IF(AND($C47&lt;=2,$C47&lt;&gt;0),0,IF($C47=3,OFFSET(G47,-CFF.NumLinha,0)+1,OFFSET(G47,-CFF.NumLinha,0)))</f>
        <v>0</v>
      </c>
      <c r="H47" s="184">
        <f ca="1">IF(AND($C47&lt;=3,$C47&lt;&gt;0),0,IF($C47=4,OFFSET(H47,-CFF.NumLinha,0)+1,OFFSET(H47,-CFF.NumLinha,0)))</f>
        <v>0</v>
      </c>
      <c r="I47" s="184">
        <f ca="1">MATCH(0,OFFSET($D47,1,$C47,ROW($A$60)-ROW($A47)),0)</f>
        <v>3</v>
      </c>
      <c r="J47" s="184" t="e">
        <f ca="1">MATCH(OFFSET($D47,0,$C47)+1,OFFSET($D47,1,$C47,ROW($A$60)-ROW($A47)),0)</f>
        <v>#N/A</v>
      </c>
      <c r="K47" s="185">
        <f ca="1">ROUND(INDEX(PO!T$12:T$57,MATCH($A47,PO!$V$12:$V$57,0)),2)+10^-12</f>
        <v>310.61000000000104</v>
      </c>
      <c r="L47" s="373"/>
      <c r="M47" s="375"/>
      <c r="N47" s="386"/>
      <c r="O47" s="204" t="s">
        <v>20</v>
      </c>
      <c r="P47" s="199">
        <f aca="true" ca="1" t="shared" si="176" ref="P47:W47">IF($B47,ROUND(P46*$N45,2),ROUND(SUMIF(OFFSET($B47,1,0,$D47),TRUE,OFFSET(P47,1,0,$D47))/SUMIF(OFFSET($B47,1,0,$D47),TRUE,OFFSET($K47,1,0,$D47))*$N45,2))</f>
        <v>0</v>
      </c>
      <c r="Q47" s="169">
        <f ca="1" t="shared" si="176"/>
        <v>0</v>
      </c>
      <c r="R47" s="169">
        <f ca="1" t="shared" si="176"/>
        <v>0</v>
      </c>
      <c r="S47" s="169">
        <f ca="1" t="shared" si="176"/>
        <v>310.61</v>
      </c>
      <c r="T47" s="169">
        <f ca="1" t="shared" si="176"/>
        <v>310.61</v>
      </c>
      <c r="U47" s="169">
        <f ca="1" t="shared" si="176"/>
        <v>310.61</v>
      </c>
      <c r="V47" s="169">
        <f ca="1" t="shared" si="176"/>
        <v>310.61</v>
      </c>
      <c r="W47" s="207">
        <f ca="1" t="shared" si="176"/>
        <v>310.61</v>
      </c>
      <c r="X47" s="196"/>
      <c r="AC47" s="169">
        <f aca="true" ca="1" t="shared" si="177" ref="AC47">IF($B47,ROUND(AC46*$N45,2),ROUND(SUMIF(OFFSET($B47,1,0,$D47),TRUE,OFFSET(AC47,1,0,$D47))/SUMIF(OFFSET($B47,1,0,$D47),TRUE,OFFSET($K47,1,0,$D47))*$N45,2))</f>
        <v>0</v>
      </c>
    </row>
    <row r="48" spans="1:29" ht="14.25" customHeight="1">
      <c r="A48" s="82"/>
      <c r="B48" s="82"/>
      <c r="C48" s="82"/>
      <c r="D48" s="82"/>
      <c r="E48" s="82"/>
      <c r="F48" s="82"/>
      <c r="G48" s="82"/>
      <c r="H48" s="82"/>
      <c r="I48" s="82"/>
      <c r="J48" s="82"/>
      <c r="K48" s="82"/>
      <c r="L48" s="372" t="str">
        <f ca="1">INDEX(PO!K$12:K$57,MATCH($A50,PO!$V$12:$V$57,0))</f>
        <v>3.</v>
      </c>
      <c r="M48" s="374" t="str">
        <f ca="1">INDEX(PO!N$12:N$57,MATCH($A50,PO!$V$12:$V$57,0))</f>
        <v>Techo Rua Natal Taffarel</v>
      </c>
      <c r="N48" s="385">
        <f aca="true" t="shared" si="178" ref="N48">IF(ROUND(K50,2)=0,K50,ROUND(K50,2))</f>
        <v>70747.61</v>
      </c>
      <c r="O48" s="220" t="s">
        <v>142</v>
      </c>
      <c r="P48" s="225">
        <f aca="true" t="shared" si="179" ref="P48">IF($B50,0,P49-IF(ISNUMBER(O49),O49,0))</f>
        <v>0</v>
      </c>
      <c r="Q48" s="226">
        <f aca="true" t="shared" si="180" ref="Q48">IF($B50,0,Q49-IF(ISNUMBER(P49),P49,0))</f>
        <v>0</v>
      </c>
      <c r="R48" s="226">
        <f aca="true" t="shared" si="181" ref="R48">IF($B50,0,R49-IF(ISNUMBER(Q49),Q49,0))</f>
        <v>0</v>
      </c>
      <c r="S48" s="226">
        <v>0.5</v>
      </c>
      <c r="T48" s="226">
        <v>0.5</v>
      </c>
      <c r="U48" s="226">
        <f aca="true" t="shared" si="182" ref="U48">IF($B50,0,U49-IF(ISNUMBER(T49),T49,0))</f>
        <v>0.49774911124206167</v>
      </c>
      <c r="V48" s="226">
        <f aca="true" t="shared" si="183" ref="V48">IF($B50,0,V49-IF(ISNUMBER(U49),U49,0))</f>
        <v>0</v>
      </c>
      <c r="W48" s="227">
        <f aca="true" t="shared" si="184" ref="W48">IF($B50,0,W49-IF(ISNUMBER(V49),V49,0))</f>
        <v>0</v>
      </c>
      <c r="X48" s="196"/>
      <c r="AC48" s="221">
        <f aca="true" t="shared" si="185" ref="AC48">IF($B50,0,AC49-IF(ISNUMBER(AB49),AB49,0))</f>
        <v>0</v>
      </c>
    </row>
    <row r="49" spans="1:29" ht="13.8">
      <c r="A49" s="184"/>
      <c r="B49" s="184"/>
      <c r="C49" s="184"/>
      <c r="D49" s="184"/>
      <c r="E49" s="184"/>
      <c r="F49" s="184"/>
      <c r="G49" s="184"/>
      <c r="H49" s="184"/>
      <c r="I49" s="184"/>
      <c r="J49" s="184"/>
      <c r="K49" s="184"/>
      <c r="L49" s="373"/>
      <c r="M49" s="375"/>
      <c r="N49" s="386"/>
      <c r="O49" s="170" t="s">
        <v>144</v>
      </c>
      <c r="P49" s="198">
        <f aca="true" t="shared" si="186" ref="P49">MIN(IF($B50,P48+IF(ISNUMBER(O49),O49,0),P50/$N48),1)</f>
        <v>0</v>
      </c>
      <c r="Q49" s="168">
        <f aca="true" t="shared" si="187" ref="Q49">MIN(IF($B50,Q48+IF(ISNUMBER(P49),P49,0),Q50/$N48),1)</f>
        <v>0</v>
      </c>
      <c r="R49" s="168">
        <f aca="true" t="shared" si="188" ref="R49">MIN(IF($B50,R48+IF(ISNUMBER(Q49),Q49,0),R50/$N48),1)</f>
        <v>0</v>
      </c>
      <c r="S49" s="168">
        <f aca="true" t="shared" si="189" ref="S49">MIN(IF($B50,S48+IF(ISNUMBER(R49),R49,0),S50/$N48),1)</f>
        <v>0</v>
      </c>
      <c r="T49" s="168">
        <f aca="true" t="shared" si="190" ref="T49">MIN(IF($B50,T48+IF(ISNUMBER(S49),S49,0),T50/$N48),1)</f>
        <v>0.5022508887579383</v>
      </c>
      <c r="U49" s="168">
        <f aca="true" t="shared" si="191" ref="U49">MIN(IF($B50,U48+IF(ISNUMBER(T49),T49,0),U50/$N48),1)</f>
        <v>1</v>
      </c>
      <c r="V49" s="168">
        <f aca="true" t="shared" si="192" ref="V49">MIN(IF($B50,V48+IF(ISNUMBER(U49),U49,0),V50/$N48),1)</f>
        <v>1</v>
      </c>
      <c r="W49" s="168">
        <f aca="true" t="shared" si="193" ref="W49">MIN(IF($B50,W48+IF(ISNUMBER(V49),V49,0),W50/$N48),1)</f>
        <v>1</v>
      </c>
      <c r="X49" s="196"/>
      <c r="AC49" s="168">
        <f aca="true" t="shared" si="194" ref="AC49">MIN(IF($B50,AC48+IF(ISNUMBER(AB49),AB49,0),AC50/$N48),1)</f>
        <v>0</v>
      </c>
    </row>
    <row r="50" spans="1:29" ht="13.8">
      <c r="A50" s="184">
        <f ca="1">OFFSET(A50,-CFF.NumLinha,0)+1</f>
        <v>11</v>
      </c>
      <c r="B50" s="184" t="b">
        <f ca="1">$C50&gt;=OFFSET($C50,CFF.NumLinha,0)</f>
        <v>0</v>
      </c>
      <c r="C50" s="184">
        <f ca="1">INDEX(PO!A$12:A$57,MATCH($A50,PO!$V$12:$V$57,0))</f>
        <v>1</v>
      </c>
      <c r="D50" s="184">
        <f aca="true" t="shared" si="195" ref="D50">IF(ISERROR(J50),I50,SMALL(I50:J50,1))-1</f>
        <v>9</v>
      </c>
      <c r="E50" s="184">
        <f ca="1">IF($C50=1,OFFSET(E50,-CFF.NumLinha,0)+1,OFFSET(E50,-CFF.NumLinha,0))</f>
        <v>3</v>
      </c>
      <c r="F50" s="184">
        <f ca="1">IF($C50=1,0,IF($C50=2,OFFSET(F50,-CFF.NumLinha,0)+1,OFFSET(F50,-CFF.NumLinha,0)))</f>
        <v>0</v>
      </c>
      <c r="G50" s="184">
        <f ca="1">IF(AND($C50&lt;=2,$C50&lt;&gt;0),0,IF($C50=3,OFFSET(G50,-CFF.NumLinha,0)+1,OFFSET(G50,-CFF.NumLinha,0)))</f>
        <v>0</v>
      </c>
      <c r="H50" s="184">
        <f ca="1">IF(AND($C50&lt;=3,$C50&lt;&gt;0),0,IF($C50=4,OFFSET(H50,-CFF.NumLinha,0)+1,OFFSET(H50,-CFF.NumLinha,0)))</f>
        <v>0</v>
      </c>
      <c r="I50" s="184">
        <f ca="1">MATCH(0,OFFSET($D50,1,$C50,ROW($A$60)-ROW($A50)),0)</f>
        <v>10</v>
      </c>
      <c r="J50" s="184" t="e">
        <f ca="1">MATCH(OFFSET($D50,0,$C50)+1,OFFSET($D50,1,$C50,ROW($A$60)-ROW($A50)),0)</f>
        <v>#N/A</v>
      </c>
      <c r="K50" s="185">
        <f ca="1">ROUND(INDEX(PO!T$12:T$57,MATCH($A50,PO!$V$12:$V$57,0)),2)+10^-12</f>
        <v>70747.61</v>
      </c>
      <c r="L50" s="373"/>
      <c r="M50" s="375"/>
      <c r="N50" s="386"/>
      <c r="O50" s="204" t="s">
        <v>20</v>
      </c>
      <c r="P50" s="199">
        <f aca="true" ca="1" t="shared" si="196" ref="P50:W50">IF($B50,ROUND(P49*$N48,2),ROUND(SUMIF(OFFSET($B50,1,0,$D50),TRUE,OFFSET(P50,1,0,$D50))/SUMIF(OFFSET($B50,1,0,$D50),TRUE,OFFSET($K50,1,0,$D50))*$N48,2))</f>
        <v>0</v>
      </c>
      <c r="Q50" s="169">
        <f ca="1" t="shared" si="196"/>
        <v>0</v>
      </c>
      <c r="R50" s="169">
        <f ca="1" t="shared" si="196"/>
        <v>0</v>
      </c>
      <c r="S50" s="169">
        <f ca="1" t="shared" si="196"/>
        <v>0</v>
      </c>
      <c r="T50" s="169">
        <f ca="1" t="shared" si="196"/>
        <v>35533.05</v>
      </c>
      <c r="U50" s="169">
        <f ca="1" t="shared" si="196"/>
        <v>70747.61</v>
      </c>
      <c r="V50" s="169">
        <f ca="1" t="shared" si="196"/>
        <v>70747.61</v>
      </c>
      <c r="W50" s="207">
        <f ca="1" t="shared" si="196"/>
        <v>70747.61</v>
      </c>
      <c r="X50" s="196"/>
      <c r="AC50" s="169">
        <f aca="true" ca="1" t="shared" si="197" ref="AC50">IF($B50,ROUND(AC49*$N48,2),ROUND(SUMIF(OFFSET($B50,1,0,$D50),TRUE,OFFSET(AC50,1,0,$D50))/SUMIF(OFFSET($B50,1,0,$D50),TRUE,OFFSET($K50,1,0,$D50))*$N48,2))</f>
        <v>0</v>
      </c>
    </row>
    <row r="51" spans="1:29" ht="14.25" customHeight="1">
      <c r="A51" s="82"/>
      <c r="B51" s="82"/>
      <c r="C51" s="82"/>
      <c r="D51" s="82"/>
      <c r="E51" s="82"/>
      <c r="F51" s="82"/>
      <c r="G51" s="82"/>
      <c r="H51" s="82"/>
      <c r="I51" s="82"/>
      <c r="J51" s="82"/>
      <c r="K51" s="82"/>
      <c r="L51" s="372" t="str">
        <f ca="1">INDEX(PO!K$12:K$57,MATCH($A53,PO!$V$12:$V$57,0))</f>
        <v>3.1.</v>
      </c>
      <c r="M51" s="374" t="str">
        <f ca="1">INDEX(PO!N$12:N$57,MATCH($A53,PO!$V$12:$V$57,0))</f>
        <v xml:space="preserve">Serviços Preliminares </v>
      </c>
      <c r="N51" s="385">
        <f aca="true" t="shared" si="198" ref="N51">IF(ROUND(K53,2)=0,K53,ROUND(K53,2))</f>
        <v>629.09</v>
      </c>
      <c r="O51" s="220" t="s">
        <v>142</v>
      </c>
      <c r="P51" s="225">
        <f aca="true" t="shared" si="199" ref="P51">IF($B53,0,P52-IF(ISNUMBER(O52),O52,0))</f>
        <v>0</v>
      </c>
      <c r="Q51" s="226">
        <f aca="true" t="shared" si="200" ref="Q51">IF($B53,0,Q52-IF(ISNUMBER(P52),P52,0))</f>
        <v>0</v>
      </c>
      <c r="R51" s="226">
        <f aca="true" t="shared" si="201" ref="R51">IF($B53,0,R52-IF(ISNUMBER(Q52),Q52,0))</f>
        <v>0</v>
      </c>
      <c r="S51" s="226">
        <f aca="true" t="shared" si="202" ref="S51">IF($B53,0,S52-IF(ISNUMBER(R52),R52,0))</f>
        <v>0</v>
      </c>
      <c r="T51" s="226">
        <v>1</v>
      </c>
      <c r="U51" s="226">
        <f aca="true" t="shared" si="203" ref="U51">IF($B53,0,U52-IF(ISNUMBER(T52),T52,0))</f>
        <v>0</v>
      </c>
      <c r="V51" s="226">
        <f aca="true" t="shared" si="204" ref="V51">IF($B53,0,V52-IF(ISNUMBER(U52),U52,0))</f>
        <v>0</v>
      </c>
      <c r="W51" s="227">
        <f aca="true" t="shared" si="205" ref="W51">IF($B53,0,W52-IF(ISNUMBER(V52),V52,0))</f>
        <v>0</v>
      </c>
      <c r="X51" s="196"/>
      <c r="AC51" s="221">
        <f aca="true" t="shared" si="206" ref="AC51">IF($B53,0,AC52-IF(ISNUMBER(AB52),AB52,0))</f>
        <v>0</v>
      </c>
    </row>
    <row r="52" spans="1:29" ht="13.8">
      <c r="A52" s="184"/>
      <c r="B52" s="184"/>
      <c r="C52" s="184"/>
      <c r="D52" s="184"/>
      <c r="E52" s="184"/>
      <c r="F52" s="184"/>
      <c r="G52" s="184"/>
      <c r="H52" s="184"/>
      <c r="I52" s="184"/>
      <c r="J52" s="184"/>
      <c r="K52" s="184"/>
      <c r="L52" s="373"/>
      <c r="M52" s="375"/>
      <c r="N52" s="386"/>
      <c r="O52" s="170" t="s">
        <v>144</v>
      </c>
      <c r="P52" s="198">
        <f aca="true" t="shared" si="207" ref="P52">MIN(IF($B53,P51+IF(ISNUMBER(O52),O52,0),P53/$N51),1)</f>
        <v>0</v>
      </c>
      <c r="Q52" s="168">
        <f aca="true" t="shared" si="208" ref="Q52">MIN(IF($B53,Q51+IF(ISNUMBER(P52),P52,0),Q53/$N51),1)</f>
        <v>0</v>
      </c>
      <c r="R52" s="168">
        <f aca="true" t="shared" si="209" ref="R52">MIN(IF($B53,R51+IF(ISNUMBER(Q52),Q52,0),R53/$N51),1)</f>
        <v>0</v>
      </c>
      <c r="S52" s="168">
        <f aca="true" t="shared" si="210" ref="S52">MIN(IF($B53,S51+IF(ISNUMBER(R52),R52,0),S53/$N51),1)</f>
        <v>0</v>
      </c>
      <c r="T52" s="168">
        <f aca="true" t="shared" si="211" ref="T52">MIN(IF($B53,T51+IF(ISNUMBER(S52),S52,0),T53/$N51),1)</f>
        <v>1</v>
      </c>
      <c r="U52" s="168">
        <f aca="true" t="shared" si="212" ref="U52">MIN(IF($B53,U51+IF(ISNUMBER(T52),T52,0),U53/$N51),1)</f>
        <v>1</v>
      </c>
      <c r="V52" s="168">
        <f aca="true" t="shared" si="213" ref="V52">MIN(IF($B53,V51+IF(ISNUMBER(U52),U52,0),V53/$N51),1)</f>
        <v>1</v>
      </c>
      <c r="W52" s="168">
        <f aca="true" t="shared" si="214" ref="W52">MIN(IF($B53,W51+IF(ISNUMBER(V52),V52,0),W53/$N51),1)</f>
        <v>1</v>
      </c>
      <c r="X52" s="196"/>
      <c r="AC52" s="168">
        <f aca="true" t="shared" si="215" ref="AC52">MIN(IF($B53,AC51+IF(ISNUMBER(AB52),AB52,0),AC53/$N51),1)</f>
        <v>0</v>
      </c>
    </row>
    <row r="53" spans="1:29" ht="13.8">
      <c r="A53" s="184">
        <f ca="1">OFFSET(A53,-CFF.NumLinha,0)+1</f>
        <v>12</v>
      </c>
      <c r="B53" s="184" t="b">
        <f ca="1">$C53&gt;=OFFSET($C53,CFF.NumLinha,0)</f>
        <v>1</v>
      </c>
      <c r="C53" s="184">
        <f ca="1">INDEX(PO!A$12:A$57,MATCH($A53,PO!$V$12:$V$57,0))</f>
        <v>2</v>
      </c>
      <c r="D53" s="184">
        <f aca="true" t="shared" si="216" ref="D53">IF(ISERROR(J53),I53,SMALL(I53:J53,1))-1</f>
        <v>2</v>
      </c>
      <c r="E53" s="184">
        <f ca="1">IF($C53=1,OFFSET(E53,-CFF.NumLinha,0)+1,OFFSET(E53,-CFF.NumLinha,0))</f>
        <v>3</v>
      </c>
      <c r="F53" s="184">
        <f ca="1">IF($C53=1,0,IF($C53=2,OFFSET(F53,-CFF.NumLinha,0)+1,OFFSET(F53,-CFF.NumLinha,0)))</f>
        <v>1</v>
      </c>
      <c r="G53" s="184">
        <f ca="1">IF(AND($C53&lt;=2,$C53&lt;&gt;0),0,IF($C53=3,OFFSET(G53,-CFF.NumLinha,0)+1,OFFSET(G53,-CFF.NumLinha,0)))</f>
        <v>0</v>
      </c>
      <c r="H53" s="184">
        <f ca="1">IF(AND($C53&lt;=3,$C53&lt;&gt;0),0,IF($C53=4,OFFSET(H53,-CFF.NumLinha,0)+1,OFFSET(H53,-CFF.NumLinha,0)))</f>
        <v>0</v>
      </c>
      <c r="I53" s="184">
        <f ca="1">MATCH(0,OFFSET($D53,1,$C53,ROW($A$60)-ROW($A53)),0)</f>
        <v>7</v>
      </c>
      <c r="J53" s="184">
        <f ca="1">MATCH(OFFSET($D53,0,$C53)+1,OFFSET($D53,1,$C53,ROW($A$60)-ROW($A53)),0)</f>
        <v>3</v>
      </c>
      <c r="K53" s="185">
        <f ca="1">ROUND(INDEX(PO!T$12:T$57,MATCH($A53,PO!$V$12:$V$57,0)),2)+10^-12</f>
        <v>629.090000000001</v>
      </c>
      <c r="L53" s="373"/>
      <c r="M53" s="375"/>
      <c r="N53" s="386"/>
      <c r="O53" s="204" t="s">
        <v>20</v>
      </c>
      <c r="P53" s="199">
        <f aca="true" ca="1" t="shared" si="217" ref="P53:W53">IF($B53,ROUND(P52*$N51,2),ROUND(SUMIF(OFFSET($B53,1,0,$D53),TRUE,OFFSET(P53,1,0,$D53))/SUMIF(OFFSET($B53,1,0,$D53),TRUE,OFFSET($K53,1,0,$D53))*$N51,2))</f>
        <v>0</v>
      </c>
      <c r="Q53" s="169">
        <f ca="1" t="shared" si="217"/>
        <v>0</v>
      </c>
      <c r="R53" s="169">
        <f ca="1" t="shared" si="217"/>
        <v>0</v>
      </c>
      <c r="S53" s="169">
        <f ca="1" t="shared" si="217"/>
        <v>0</v>
      </c>
      <c r="T53" s="169">
        <f ca="1" t="shared" si="217"/>
        <v>629.09</v>
      </c>
      <c r="U53" s="169">
        <f ca="1" t="shared" si="217"/>
        <v>629.09</v>
      </c>
      <c r="V53" s="169">
        <f ca="1" t="shared" si="217"/>
        <v>629.09</v>
      </c>
      <c r="W53" s="207">
        <f ca="1" t="shared" si="217"/>
        <v>629.09</v>
      </c>
      <c r="X53" s="196"/>
      <c r="AC53" s="169">
        <f aca="true" ca="1" t="shared" si="218" ref="AC53">IF($B53,ROUND(AC52*$N51,2),ROUND(SUMIF(OFFSET($B53,1,0,$D53),TRUE,OFFSET(AC53,1,0,$D53))/SUMIF(OFFSET($B53,1,0,$D53),TRUE,OFFSET($K53,1,0,$D53))*$N51,2))</f>
        <v>0</v>
      </c>
    </row>
    <row r="54" spans="1:29" ht="14.25" customHeight="1">
      <c r="A54" s="82"/>
      <c r="B54" s="82"/>
      <c r="C54" s="82"/>
      <c r="D54" s="82"/>
      <c r="E54" s="82"/>
      <c r="F54" s="82"/>
      <c r="G54" s="82"/>
      <c r="H54" s="82"/>
      <c r="I54" s="82"/>
      <c r="J54" s="82"/>
      <c r="K54" s="82"/>
      <c r="L54" s="372" t="str">
        <f ca="1">INDEX(PO!K$12:K$57,MATCH($A56,PO!$V$12:$V$57,0))</f>
        <v>3.2.</v>
      </c>
      <c r="M54" s="374" t="str">
        <f ca="1">INDEX(PO!N$12:N$57,MATCH($A56,PO!$V$12:$V$57,0))</f>
        <v>Pavimentação</v>
      </c>
      <c r="N54" s="385">
        <f aca="true" t="shared" si="219" ref="N54">IF(ROUND(K56,2)=0,K56,ROUND(K56,2))</f>
        <v>69807.91</v>
      </c>
      <c r="O54" s="220" t="s">
        <v>142</v>
      </c>
      <c r="P54" s="225">
        <f aca="true" t="shared" si="220" ref="P54">IF($B56,0,P55-IF(ISNUMBER(O55),O55,0))</f>
        <v>0</v>
      </c>
      <c r="Q54" s="226">
        <f aca="true" t="shared" si="221" ref="Q54">IF($B56,0,Q55-IF(ISNUMBER(P55),P55,0))</f>
        <v>0</v>
      </c>
      <c r="R54" s="226">
        <f aca="true" t="shared" si="222" ref="R54">IF($B56,0,R55-IF(ISNUMBER(Q55),Q55,0))</f>
        <v>0</v>
      </c>
      <c r="S54" s="226">
        <f aca="true" t="shared" si="223" ref="S54">IF($B56,0,S55-IF(ISNUMBER(R55),R55,0))</f>
        <v>0</v>
      </c>
      <c r="T54" s="226">
        <v>0.5</v>
      </c>
      <c r="U54" s="226">
        <v>0.5</v>
      </c>
      <c r="V54" s="226">
        <f aca="true" t="shared" si="224" ref="V54">IF($B56,0,V55-IF(ISNUMBER(U55),U55,0))</f>
        <v>0</v>
      </c>
      <c r="W54" s="227">
        <f aca="true" t="shared" si="225" ref="W54">IF($B56,0,W55-IF(ISNUMBER(V55),V55,0))</f>
        <v>0</v>
      </c>
      <c r="X54" s="196"/>
      <c r="AC54" s="221">
        <f aca="true" t="shared" si="226" ref="AC54">IF($B56,0,AC55-IF(ISNUMBER(AB55),AB55,0))</f>
        <v>0</v>
      </c>
    </row>
    <row r="55" spans="1:29" ht="13.8">
      <c r="A55" s="184"/>
      <c r="B55" s="184"/>
      <c r="C55" s="184"/>
      <c r="D55" s="184"/>
      <c r="E55" s="184"/>
      <c r="F55" s="184"/>
      <c r="G55" s="184"/>
      <c r="H55" s="184"/>
      <c r="I55" s="184"/>
      <c r="J55" s="184"/>
      <c r="K55" s="184"/>
      <c r="L55" s="373"/>
      <c r="M55" s="375"/>
      <c r="N55" s="386"/>
      <c r="O55" s="170" t="s">
        <v>144</v>
      </c>
      <c r="P55" s="198">
        <f aca="true" t="shared" si="227" ref="P55">MIN(IF($B56,P54+IF(ISNUMBER(O55),O55,0),P56/$N54),1)</f>
        <v>0</v>
      </c>
      <c r="Q55" s="168">
        <f aca="true" t="shared" si="228" ref="Q55">MIN(IF($B56,Q54+IF(ISNUMBER(P55),P55,0),Q56/$N54),1)</f>
        <v>0</v>
      </c>
      <c r="R55" s="168">
        <f aca="true" t="shared" si="229" ref="R55">MIN(IF($B56,R54+IF(ISNUMBER(Q55),Q55,0),R56/$N54),1)</f>
        <v>0</v>
      </c>
      <c r="S55" s="168">
        <f aca="true" t="shared" si="230" ref="S55">MIN(IF($B56,S54+IF(ISNUMBER(R55),R55,0),S56/$N54),1)</f>
        <v>0</v>
      </c>
      <c r="T55" s="168">
        <f aca="true" t="shared" si="231" ref="T55">MIN(IF($B56,T54+IF(ISNUMBER(S55),S55,0),T56/$N54),1)</f>
        <v>0.5</v>
      </c>
      <c r="U55" s="168">
        <f aca="true" t="shared" si="232" ref="U55">MIN(IF($B56,U54+IF(ISNUMBER(T55),T55,0),U56/$N54),1)</f>
        <v>1</v>
      </c>
      <c r="V55" s="168">
        <f aca="true" t="shared" si="233" ref="V55">MIN(IF($B56,V54+IF(ISNUMBER(U55),U55,0),V56/$N54),1)</f>
        <v>1</v>
      </c>
      <c r="W55" s="168">
        <f aca="true" t="shared" si="234" ref="W55">MIN(IF($B56,W54+IF(ISNUMBER(V55),V55,0),W56/$N54),1)</f>
        <v>1</v>
      </c>
      <c r="X55" s="196"/>
      <c r="AC55" s="168">
        <f aca="true" t="shared" si="235" ref="AC55">MIN(IF($B56,AC54+IF(ISNUMBER(AB55),AB55,0),AC56/$N54),1)</f>
        <v>0</v>
      </c>
    </row>
    <row r="56" spans="1:29" ht="13.8">
      <c r="A56" s="184">
        <f ca="1">OFFSET(A56,-CFF.NumLinha,0)+1</f>
        <v>13</v>
      </c>
      <c r="B56" s="184" t="b">
        <f ca="1">$C56&gt;=OFFSET($C56,CFF.NumLinha,0)</f>
        <v>1</v>
      </c>
      <c r="C56" s="184">
        <f ca="1">INDEX(PO!A$12:A$57,MATCH($A56,PO!$V$12:$V$57,0))</f>
        <v>2</v>
      </c>
      <c r="D56" s="184">
        <f aca="true" t="shared" si="236" ref="D56">IF(ISERROR(J56),I56,SMALL(I56:J56,1))-1</f>
        <v>2</v>
      </c>
      <c r="E56" s="184">
        <f ca="1">IF($C56=1,OFFSET(E56,-CFF.NumLinha,0)+1,OFFSET(E56,-CFF.NumLinha,0))</f>
        <v>3</v>
      </c>
      <c r="F56" s="184">
        <f ca="1">IF($C56=1,0,IF($C56=2,OFFSET(F56,-CFF.NumLinha,0)+1,OFFSET(F56,-CFF.NumLinha,0)))</f>
        <v>2</v>
      </c>
      <c r="G56" s="184">
        <f ca="1">IF(AND($C56&lt;=2,$C56&lt;&gt;0),0,IF($C56=3,OFFSET(G56,-CFF.NumLinha,0)+1,OFFSET(G56,-CFF.NumLinha,0)))</f>
        <v>0</v>
      </c>
      <c r="H56" s="184">
        <f ca="1">IF(AND($C56&lt;=3,$C56&lt;&gt;0),0,IF($C56=4,OFFSET(H56,-CFF.NumLinha,0)+1,OFFSET(H56,-CFF.NumLinha,0)))</f>
        <v>0</v>
      </c>
      <c r="I56" s="184">
        <f aca="true" ca="1" t="shared" si="237" ref="I56">MATCH(0,OFFSET($D56,1,$C56,ROW($A$60)-ROW($A56)),0)</f>
        <v>4</v>
      </c>
      <c r="J56" s="184">
        <f aca="true" ca="1" t="shared" si="238" ref="J56">MATCH(OFFSET($D56,0,$C56)+1,OFFSET($D56,1,$C56,ROW($A$60)-ROW($A56)),0)</f>
        <v>3</v>
      </c>
      <c r="K56" s="185">
        <f ca="1">ROUND(INDEX(PO!T$12:T$57,MATCH($A56,PO!$V$12:$V$57,0)),2)+10^-12</f>
        <v>69807.91</v>
      </c>
      <c r="L56" s="373"/>
      <c r="M56" s="375"/>
      <c r="N56" s="386"/>
      <c r="O56" s="204" t="s">
        <v>20</v>
      </c>
      <c r="P56" s="199">
        <f aca="true" ca="1" t="shared" si="239" ref="P56:W56">IF($B56,ROUND(P55*$N54,2),ROUND(SUMIF(OFFSET($B56,1,0,$D56),TRUE,OFFSET(P56,1,0,$D56))/SUMIF(OFFSET($B56,1,0,$D56),TRUE,OFFSET($K56,1,0,$D56))*$N54,2))</f>
        <v>0</v>
      </c>
      <c r="Q56" s="169">
        <f ca="1" t="shared" si="239"/>
        <v>0</v>
      </c>
      <c r="R56" s="169">
        <f ca="1" t="shared" si="239"/>
        <v>0</v>
      </c>
      <c r="S56" s="169">
        <f ca="1" t="shared" si="239"/>
        <v>0</v>
      </c>
      <c r="T56" s="169">
        <f ca="1" t="shared" si="239"/>
        <v>34903.96</v>
      </c>
      <c r="U56" s="169">
        <f ca="1" t="shared" si="239"/>
        <v>69807.91</v>
      </c>
      <c r="V56" s="169">
        <f ca="1" t="shared" si="239"/>
        <v>69807.91</v>
      </c>
      <c r="W56" s="207">
        <f ca="1" t="shared" si="239"/>
        <v>69807.91</v>
      </c>
      <c r="X56" s="196"/>
      <c r="AC56" s="169">
        <f aca="true" ca="1" t="shared" si="240" ref="AC56">IF($B56,ROUND(AC55*$N54,2),ROUND(SUMIF(OFFSET($B56,1,0,$D56),TRUE,OFFSET(AC56,1,0,$D56))/SUMIF(OFFSET($B56,1,0,$D56),TRUE,OFFSET($K56,1,0,$D56))*$N54,2))</f>
        <v>0</v>
      </c>
    </row>
    <row r="57" spans="1:29" ht="14.25" customHeight="1">
      <c r="A57" s="82"/>
      <c r="B57" s="82"/>
      <c r="C57" s="82"/>
      <c r="D57" s="82"/>
      <c r="E57" s="82"/>
      <c r="F57" s="82"/>
      <c r="G57" s="82"/>
      <c r="H57" s="82"/>
      <c r="I57" s="82"/>
      <c r="J57" s="82"/>
      <c r="K57" s="82"/>
      <c r="L57" s="372" t="str">
        <f ca="1">INDEX(PO!K$12:K$57,MATCH($A59,PO!$V$12:$V$57,0))</f>
        <v>3.3.</v>
      </c>
      <c r="M57" s="374" t="str">
        <f ca="1">INDEX(PO!N$12:N$57,MATCH($A59,PO!$V$12:$V$57,0))</f>
        <v>Sinalização</v>
      </c>
      <c r="N57" s="385">
        <f aca="true" t="shared" si="241" ref="N57">IF(ROUND(K59,2)=0,K59,ROUND(K59,2))</f>
        <v>310.61</v>
      </c>
      <c r="O57" s="220" t="s">
        <v>142</v>
      </c>
      <c r="P57" s="225">
        <f aca="true" t="shared" si="242" ref="P57">IF($B59,0,P58-IF(ISNUMBER(O58),O58,0))</f>
        <v>0</v>
      </c>
      <c r="Q57" s="226">
        <f aca="true" t="shared" si="243" ref="Q57">IF($B59,0,Q58-IF(ISNUMBER(P58),P58,0))</f>
        <v>0</v>
      </c>
      <c r="R57" s="226">
        <f aca="true" t="shared" si="244" ref="R57">IF($B59,0,R58-IF(ISNUMBER(Q58),Q58,0))</f>
        <v>0</v>
      </c>
      <c r="S57" s="226">
        <f aca="true" t="shared" si="245" ref="S57">IF($B59,0,S58-IF(ISNUMBER(R58),R58,0))</f>
        <v>0</v>
      </c>
      <c r="T57" s="226">
        <f aca="true" t="shared" si="246" ref="T57">IF($B59,0,T58-IF(ISNUMBER(S58),S58,0))</f>
        <v>0</v>
      </c>
      <c r="U57" s="226">
        <v>1</v>
      </c>
      <c r="V57" s="226">
        <f aca="true" t="shared" si="247" ref="V57">IF($B59,0,V58-IF(ISNUMBER(U58),U58,0))</f>
        <v>0</v>
      </c>
      <c r="W57" s="227">
        <f aca="true" t="shared" si="248" ref="W57">IF($B59,0,W58-IF(ISNUMBER(V58),V58,0))</f>
        <v>0</v>
      </c>
      <c r="X57" s="196"/>
      <c r="AC57" s="221">
        <f aca="true" t="shared" si="249" ref="AC57">IF($B59,0,AC58-IF(ISNUMBER(AB58),AB58,0))</f>
        <v>0</v>
      </c>
    </row>
    <row r="58" spans="1:29" ht="13.8">
      <c r="A58" s="184"/>
      <c r="B58" s="184"/>
      <c r="C58" s="184"/>
      <c r="D58" s="184"/>
      <c r="E58" s="184"/>
      <c r="F58" s="184"/>
      <c r="G58" s="184"/>
      <c r="H58" s="184"/>
      <c r="I58" s="184"/>
      <c r="J58" s="184"/>
      <c r="K58" s="184"/>
      <c r="L58" s="373"/>
      <c r="M58" s="375"/>
      <c r="N58" s="386"/>
      <c r="O58" s="170" t="s">
        <v>144</v>
      </c>
      <c r="P58" s="198">
        <f aca="true" t="shared" si="250" ref="P58">MIN(IF($B59,P57+IF(ISNUMBER(O58),O58,0),P59/$N57),1)</f>
        <v>0</v>
      </c>
      <c r="Q58" s="168">
        <f aca="true" t="shared" si="251" ref="Q58">MIN(IF($B59,Q57+IF(ISNUMBER(P58),P58,0),Q59/$N57),1)</f>
        <v>0</v>
      </c>
      <c r="R58" s="168">
        <f aca="true" t="shared" si="252" ref="R58">MIN(IF($B59,R57+IF(ISNUMBER(Q58),Q58,0),R59/$N57),1)</f>
        <v>0</v>
      </c>
      <c r="S58" s="168">
        <f aca="true" t="shared" si="253" ref="S58">MIN(IF($B59,S57+IF(ISNUMBER(R58),R58,0),S59/$N57),1)</f>
        <v>0</v>
      </c>
      <c r="T58" s="168">
        <f aca="true" t="shared" si="254" ref="T58">MIN(IF($B59,T57+IF(ISNUMBER(S58),S58,0),T59/$N57),1)</f>
        <v>0</v>
      </c>
      <c r="U58" s="168">
        <f aca="true" t="shared" si="255" ref="U58">MIN(IF($B59,U57+IF(ISNUMBER(T58),T58,0),U59/$N57),1)</f>
        <v>1</v>
      </c>
      <c r="V58" s="168">
        <f aca="true" t="shared" si="256" ref="V58">MIN(IF($B59,V57+IF(ISNUMBER(U58),U58,0),V59/$N57),1)</f>
        <v>1</v>
      </c>
      <c r="W58" s="168">
        <f aca="true" t="shared" si="257" ref="W58">MIN(IF($B59,W57+IF(ISNUMBER(V58),V58,0),W59/$N57),1)</f>
        <v>1</v>
      </c>
      <c r="X58" s="196"/>
      <c r="AC58" s="168">
        <f aca="true" t="shared" si="258" ref="AC58">MIN(IF($B59,AC57+IF(ISNUMBER(AB58),AB58,0),AC59/$N57),1)</f>
        <v>0</v>
      </c>
    </row>
    <row r="59" spans="1:29" ht="13.8">
      <c r="A59" s="184">
        <f ca="1">OFFSET(A59,-CFF.NumLinha,0)+1</f>
        <v>14</v>
      </c>
      <c r="B59" s="184" t="b">
        <f ca="1">$C59&gt;=OFFSET($C59,CFF.NumLinha,0)</f>
        <v>1</v>
      </c>
      <c r="C59" s="184">
        <f ca="1">INDEX(PO!A$12:A$57,MATCH($A59,PO!$V$12:$V$57,0))</f>
        <v>2</v>
      </c>
      <c r="D59" s="184">
        <f aca="true" t="shared" si="259" ref="D59">IF(ISERROR(J59),I59,SMALL(I59:J59,1))-1</f>
        <v>0</v>
      </c>
      <c r="E59" s="184">
        <f ca="1">IF($C59=1,OFFSET(E59,-CFF.NumLinha,0)+1,OFFSET(E59,-CFF.NumLinha,0))</f>
        <v>3</v>
      </c>
      <c r="F59" s="184">
        <f ca="1">IF($C59=1,0,IF($C59=2,OFFSET(F59,-CFF.NumLinha,0)+1,OFFSET(F59,-CFF.NumLinha,0)))</f>
        <v>3</v>
      </c>
      <c r="G59" s="184">
        <f ca="1">IF(AND($C59&lt;=2,$C59&lt;&gt;0),0,IF($C59=3,OFFSET(G59,-CFF.NumLinha,0)+1,OFFSET(G59,-CFF.NumLinha,0)))</f>
        <v>0</v>
      </c>
      <c r="H59" s="184">
        <f ca="1">IF(AND($C59&lt;=3,$C59&lt;&gt;0),0,IF($C59=4,OFFSET(H59,-CFF.NumLinha,0)+1,OFFSET(H59,-CFF.NumLinha,0)))</f>
        <v>0</v>
      </c>
      <c r="I59" s="184">
        <f aca="true" ca="1" t="shared" si="260" ref="I59">MATCH(0,OFFSET($D59,1,$C59,ROW($A$60)-ROW($A59)),0)</f>
        <v>1</v>
      </c>
      <c r="J59" s="184" t="e">
        <f aca="true" ca="1" t="shared" si="261" ref="J59">MATCH(OFFSET($D59,0,$C59)+1,OFFSET($D59,1,$C59,ROW($A$60)-ROW($A59)),0)</f>
        <v>#N/A</v>
      </c>
      <c r="K59" s="185">
        <f ca="1">ROUND(INDEX(PO!T$12:T$57,MATCH($A59,PO!$V$12:$V$57,0)),2)+10^-12</f>
        <v>310.61000000000104</v>
      </c>
      <c r="L59" s="373"/>
      <c r="M59" s="375"/>
      <c r="N59" s="386"/>
      <c r="O59" s="204" t="s">
        <v>20</v>
      </c>
      <c r="P59" s="199">
        <f aca="true" ca="1" t="shared" si="262" ref="P59:W59">IF($B59,ROUND(P58*$N57,2),ROUND(SUMIF(OFFSET($B59,1,0,$D59),TRUE,OFFSET(P59,1,0,$D59))/SUMIF(OFFSET($B59,1,0,$D59),TRUE,OFFSET($K59,1,0,$D59))*$N57,2))</f>
        <v>0</v>
      </c>
      <c r="Q59" s="169">
        <f ca="1" t="shared" si="262"/>
        <v>0</v>
      </c>
      <c r="R59" s="169">
        <f ca="1" t="shared" si="262"/>
        <v>0</v>
      </c>
      <c r="S59" s="169">
        <f ca="1" t="shared" si="262"/>
        <v>0</v>
      </c>
      <c r="T59" s="169">
        <f ca="1" t="shared" si="262"/>
        <v>0</v>
      </c>
      <c r="U59" s="169">
        <f ca="1" t="shared" si="262"/>
        <v>310.61</v>
      </c>
      <c r="V59" s="169">
        <f ca="1" t="shared" si="262"/>
        <v>310.61</v>
      </c>
      <c r="W59" s="207">
        <f ca="1" t="shared" si="262"/>
        <v>310.61</v>
      </c>
      <c r="X59" s="196"/>
      <c r="AC59" s="169">
        <f aca="true" ca="1" t="shared" si="263" ref="AC59">IF($B59,ROUND(AC58*$N57,2),ROUND(SUMIF(OFFSET($B59,1,0,$D59),TRUE,OFFSET(AC59,1,0,$D59))/SUMIF(OFFSET($B59,1,0,$D59),TRUE,OFFSET($K59,1,0,$D59))*$N57,2))</f>
        <v>0</v>
      </c>
    </row>
    <row r="60" spans="1:29" s="45" customFormat="1" ht="12.75" customHeight="1">
      <c r="A60" s="1"/>
      <c r="B60" s="1"/>
      <c r="C60" s="184">
        <v>-1</v>
      </c>
      <c r="D60" s="184"/>
      <c r="E60" s="184">
        <v>0</v>
      </c>
      <c r="F60" s="184">
        <v>0</v>
      </c>
      <c r="G60" s="184">
        <v>0</v>
      </c>
      <c r="H60" s="184">
        <v>0</v>
      </c>
      <c r="I60" s="1"/>
      <c r="J60" s="1"/>
      <c r="K60" s="1"/>
      <c r="L60" s="154"/>
      <c r="M60" s="154"/>
      <c r="N60" s="155"/>
      <c r="O60" s="154"/>
      <c r="P60" s="154"/>
      <c r="Q60" s="155"/>
      <c r="R60" s="154"/>
      <c r="S60" s="154"/>
      <c r="T60" s="154"/>
      <c r="U60" s="154"/>
      <c r="V60" s="154"/>
      <c r="W60" s="154"/>
      <c r="X60" s="186"/>
      <c r="AC60" s="154"/>
    </row>
    <row r="61" spans="1:29" ht="12" customHeight="1">
      <c r="A61" s="1"/>
      <c r="B61" s="1"/>
      <c r="C61" s="1"/>
      <c r="D61" s="1"/>
      <c r="E61" s="1"/>
      <c r="F61" s="1"/>
      <c r="G61" s="1"/>
      <c r="H61" s="1"/>
      <c r="I61" s="1"/>
      <c r="J61" s="1"/>
      <c r="K61" s="1"/>
      <c r="L61" s="187"/>
      <c r="M61" s="187"/>
      <c r="N61" s="187"/>
      <c r="O61" s="187"/>
      <c r="P61" s="187"/>
      <c r="Q61" s="187"/>
      <c r="R61" s="187"/>
      <c r="S61" s="187"/>
      <c r="T61" s="187"/>
      <c r="U61" s="187"/>
      <c r="V61" s="187"/>
      <c r="W61" s="187"/>
      <c r="X61" s="188"/>
      <c r="AC61" s="187"/>
    </row>
    <row r="62" spans="1:29" ht="12.75">
      <c r="A62" s="1"/>
      <c r="B62" s="1"/>
      <c r="C62" s="1"/>
      <c r="D62" s="1"/>
      <c r="E62" s="1"/>
      <c r="F62" s="1"/>
      <c r="G62" s="1"/>
      <c r="H62" s="1"/>
      <c r="I62" s="1"/>
      <c r="J62" s="1"/>
      <c r="K62" s="1"/>
      <c r="L62" s="391">
        <f>DADOS!I32</f>
        <v>0</v>
      </c>
      <c r="M62" s="391"/>
      <c r="N62" s="391"/>
      <c r="O62" s="187"/>
      <c r="P62" s="189"/>
      <c r="Q62" s="388"/>
      <c r="R62" s="388"/>
      <c r="S62" s="388"/>
      <c r="T62" s="187"/>
      <c r="U62" s="187"/>
      <c r="V62" s="187"/>
      <c r="W62" s="187"/>
      <c r="X62" s="188"/>
      <c r="AC62" s="187"/>
    </row>
    <row r="63" spans="1:29" ht="12.75">
      <c r="A63" s="1"/>
      <c r="B63" s="1"/>
      <c r="C63" s="1"/>
      <c r="D63" s="1"/>
      <c r="E63" s="1"/>
      <c r="F63" s="1"/>
      <c r="G63" s="1"/>
      <c r="H63" s="1"/>
      <c r="I63" s="1"/>
      <c r="J63" s="1"/>
      <c r="K63" s="1"/>
      <c r="L63" s="190" t="s">
        <v>120</v>
      </c>
      <c r="M63" s="390"/>
      <c r="N63" s="390"/>
      <c r="O63" s="187"/>
      <c r="P63" s="189"/>
      <c r="Q63" s="388"/>
      <c r="R63" s="388"/>
      <c r="S63" s="388"/>
      <c r="T63" s="187"/>
      <c r="U63" s="187"/>
      <c r="V63" s="187"/>
      <c r="W63" s="187"/>
      <c r="X63" s="188"/>
      <c r="AC63" s="187"/>
    </row>
    <row r="64" spans="1:29" ht="12.75">
      <c r="A64" s="1"/>
      <c r="B64" s="1"/>
      <c r="C64" s="1"/>
      <c r="D64" s="1"/>
      <c r="E64" s="1"/>
      <c r="F64" s="1"/>
      <c r="G64" s="1"/>
      <c r="H64" s="1"/>
      <c r="I64" s="1"/>
      <c r="J64" s="1"/>
      <c r="K64" s="1"/>
      <c r="L64" s="189"/>
      <c r="M64" s="389"/>
      <c r="N64" s="390"/>
      <c r="O64" s="187"/>
      <c r="P64" s="189"/>
      <c r="Q64" s="388"/>
      <c r="R64" s="388"/>
      <c r="S64" s="388"/>
      <c r="T64" s="187"/>
      <c r="U64" s="187"/>
      <c r="V64" s="187"/>
      <c r="W64" s="187"/>
      <c r="X64" s="188"/>
      <c r="AC64" s="187"/>
    </row>
    <row r="65" spans="1:29" ht="12.75">
      <c r="A65" s="1"/>
      <c r="B65" s="1"/>
      <c r="C65" s="1"/>
      <c r="D65" s="1"/>
      <c r="E65" s="1"/>
      <c r="F65" s="1"/>
      <c r="G65" s="1"/>
      <c r="H65" s="1"/>
      <c r="I65" s="1"/>
      <c r="J65" s="1"/>
      <c r="K65" s="1"/>
      <c r="L65" s="371">
        <f ca="1">PO!K71</f>
        <v>45093</v>
      </c>
      <c r="M65" s="371"/>
      <c r="N65" s="371"/>
      <c r="O65" s="187"/>
      <c r="P65" s="187"/>
      <c r="Q65" s="187"/>
      <c r="R65" s="187"/>
      <c r="S65" s="187"/>
      <c r="T65" s="187"/>
      <c r="U65" s="187"/>
      <c r="V65" s="187"/>
      <c r="W65" s="187"/>
      <c r="X65" s="191"/>
      <c r="AC65" s="187"/>
    </row>
    <row r="66" spans="1:29" ht="12.75">
      <c r="A66" s="1"/>
      <c r="B66" s="1"/>
      <c r="C66" s="1"/>
      <c r="D66" s="1"/>
      <c r="E66" s="1"/>
      <c r="F66" s="1"/>
      <c r="G66" s="1"/>
      <c r="H66" s="1"/>
      <c r="I66" s="1"/>
      <c r="J66" s="1"/>
      <c r="K66" s="1"/>
      <c r="L66" s="192" t="s">
        <v>121</v>
      </c>
      <c r="M66" s="193"/>
      <c r="N66" s="193"/>
      <c r="O66" s="187"/>
      <c r="P66" s="187"/>
      <c r="Q66" s="187"/>
      <c r="R66" s="187"/>
      <c r="S66" s="187"/>
      <c r="T66" s="187"/>
      <c r="U66" s="187"/>
      <c r="V66" s="187"/>
      <c r="W66" s="187"/>
      <c r="X66" s="191"/>
      <c r="AC66" s="187"/>
    </row>
    <row r="67" spans="1:29" ht="12.75">
      <c r="A67" s="1"/>
      <c r="B67" s="1"/>
      <c r="C67" s="1"/>
      <c r="D67" s="1"/>
      <c r="E67" s="1"/>
      <c r="F67" s="1"/>
      <c r="G67" s="1"/>
      <c r="H67" s="1"/>
      <c r="I67" s="1"/>
      <c r="J67" s="1"/>
      <c r="K67" s="1"/>
      <c r="L67" s="187"/>
      <c r="M67" s="187"/>
      <c r="N67" s="187"/>
      <c r="O67" s="187"/>
      <c r="P67" s="187"/>
      <c r="Q67" s="187"/>
      <c r="R67" s="187"/>
      <c r="S67" s="187"/>
      <c r="T67" s="187"/>
      <c r="U67" s="187"/>
      <c r="V67" s="187"/>
      <c r="W67" s="187"/>
      <c r="X67" s="191"/>
      <c r="AC67" s="187"/>
    </row>
    <row r="68" spans="1:29" ht="12.75">
      <c r="A68" s="1"/>
      <c r="B68" s="1"/>
      <c r="C68" s="1"/>
      <c r="D68" s="1"/>
      <c r="E68" s="1"/>
      <c r="F68" s="1"/>
      <c r="G68" s="1"/>
      <c r="H68" s="1"/>
      <c r="I68" s="1"/>
      <c r="J68" s="1"/>
      <c r="K68" s="1"/>
      <c r="L68" s="187"/>
      <c r="M68" s="187"/>
      <c r="N68" s="194"/>
      <c r="O68" s="187"/>
      <c r="P68" s="187"/>
      <c r="Q68" s="187"/>
      <c r="R68" s="187"/>
      <c r="S68" s="187"/>
      <c r="T68" s="187"/>
      <c r="U68" s="187"/>
      <c r="V68" s="187"/>
      <c r="W68" s="187"/>
      <c r="X68" s="188"/>
      <c r="AC68" s="187"/>
    </row>
    <row r="69" spans="1:29" ht="12.75">
      <c r="A69" s="1"/>
      <c r="B69" s="1"/>
      <c r="C69" s="1"/>
      <c r="D69" s="1"/>
      <c r="E69" s="1"/>
      <c r="F69" s="1"/>
      <c r="G69" s="1"/>
      <c r="H69" s="1"/>
      <c r="I69" s="1"/>
      <c r="J69" s="1"/>
      <c r="K69" s="1"/>
      <c r="L69" s="187"/>
      <c r="M69" s="187"/>
      <c r="N69" s="194"/>
      <c r="O69" s="187"/>
      <c r="P69" s="187"/>
      <c r="Q69" s="187"/>
      <c r="R69" s="187"/>
      <c r="S69" s="187"/>
      <c r="T69" s="187"/>
      <c r="U69" s="187"/>
      <c r="V69" s="187"/>
      <c r="W69" s="187"/>
      <c r="X69" s="188"/>
      <c r="AC69" s="187"/>
    </row>
    <row r="70" spans="1:29" ht="12.75">
      <c r="A70" s="1"/>
      <c r="B70" s="1"/>
      <c r="C70" s="1"/>
      <c r="D70" s="1"/>
      <c r="E70" s="1"/>
      <c r="F70" s="1"/>
      <c r="G70" s="1"/>
      <c r="H70" s="1"/>
      <c r="I70" s="1"/>
      <c r="J70" s="1"/>
      <c r="K70" s="1"/>
      <c r="L70" s="82"/>
      <c r="M70" s="82"/>
      <c r="N70" s="7"/>
      <c r="O70" s="82"/>
      <c r="P70" s="82"/>
      <c r="Q70" s="82"/>
      <c r="R70" s="82"/>
      <c r="S70" s="82"/>
      <c r="T70" s="82"/>
      <c r="U70" s="82"/>
      <c r="V70" s="82"/>
      <c r="W70" s="187"/>
      <c r="X70" s="188"/>
      <c r="AC70" s="82"/>
    </row>
  </sheetData>
  <sheetProtection algorithmName="SHA-512" hashValue="p22mVfoMurMlc+qCOesxhrlUTBhOw6pGWoq6K/FI8j5iZ51nlqXbjn3jww4qlJycJdKeKC6FHwhjdkN9a9X6Gw==" saltValue="AdzchJ8nqJJCxbe0YUdIHg==" spinCount="100000" sheet="1" objects="1" scenarios="1"/>
  <mergeCells count="55">
    <mergeCell ref="L54:L56"/>
    <mergeCell ref="M54:M56"/>
    <mergeCell ref="N54:N56"/>
    <mergeCell ref="L57:L59"/>
    <mergeCell ref="M57:M59"/>
    <mergeCell ref="N57:N59"/>
    <mergeCell ref="L48:L50"/>
    <mergeCell ref="M48:M50"/>
    <mergeCell ref="N48:N50"/>
    <mergeCell ref="L51:L53"/>
    <mergeCell ref="M51:M53"/>
    <mergeCell ref="N51:N53"/>
    <mergeCell ref="L42:L44"/>
    <mergeCell ref="M42:M44"/>
    <mergeCell ref="N42:N44"/>
    <mergeCell ref="L45:L47"/>
    <mergeCell ref="M45:M47"/>
    <mergeCell ref="N45:N47"/>
    <mergeCell ref="M36:M38"/>
    <mergeCell ref="N36:N38"/>
    <mergeCell ref="L39:L41"/>
    <mergeCell ref="M39:M41"/>
    <mergeCell ref="N39:N41"/>
    <mergeCell ref="L8:M8"/>
    <mergeCell ref="N11:N13"/>
    <mergeCell ref="M18:M20"/>
    <mergeCell ref="N18:N20"/>
    <mergeCell ref="Q64:S64"/>
    <mergeCell ref="M64:N64"/>
    <mergeCell ref="Q63:S63"/>
    <mergeCell ref="Q62:S62"/>
    <mergeCell ref="L62:N62"/>
    <mergeCell ref="M63:N63"/>
    <mergeCell ref="M30:M32"/>
    <mergeCell ref="N30:N32"/>
    <mergeCell ref="L33:L35"/>
    <mergeCell ref="M33:M35"/>
    <mergeCell ref="N33:N35"/>
    <mergeCell ref="L36:L38"/>
    <mergeCell ref="L65:N65"/>
    <mergeCell ref="L11:L13"/>
    <mergeCell ref="M11:M13"/>
    <mergeCell ref="L14:M17"/>
    <mergeCell ref="N14:N17"/>
    <mergeCell ref="L18:L20"/>
    <mergeCell ref="L21:L23"/>
    <mergeCell ref="M21:M23"/>
    <mergeCell ref="N21:N23"/>
    <mergeCell ref="L24:L26"/>
    <mergeCell ref="M24:M26"/>
    <mergeCell ref="N24:N26"/>
    <mergeCell ref="L27:L29"/>
    <mergeCell ref="M27:M29"/>
    <mergeCell ref="N27:N29"/>
    <mergeCell ref="L30:L32"/>
  </mergeCells>
  <conditionalFormatting sqref="L11:N11 L12:M13 L18:N18">
    <cfRule type="expression" priority="1052" dxfId="16" stopIfTrue="1">
      <formula>$C13=1</formula>
    </cfRule>
  </conditionalFormatting>
  <conditionalFormatting sqref="O11 O18">
    <cfRule type="expression" priority="1124" dxfId="1" stopIfTrue="1">
      <formula>$B13=FALSE</formula>
    </cfRule>
    <cfRule type="expression" priority="1125" dxfId="0" stopIfTrue="1">
      <formula>$C13=1</formula>
    </cfRule>
  </conditionalFormatting>
  <conditionalFormatting sqref="P12:W12">
    <cfRule type="expression" priority="1114" dxfId="6" stopIfTrue="1">
      <formula>AND(ISNUMBER(O13),O13&gt;=$N11)</formula>
    </cfRule>
    <cfRule type="cellIs" priority="1115" dxfId="3" operator="notBetween" stopIfTrue="1">
      <formula>0</formula>
      <formula>1</formula>
    </cfRule>
  </conditionalFormatting>
  <conditionalFormatting sqref="P13:W13">
    <cfRule type="expression" priority="1116" dxfId="4" stopIfTrue="1">
      <formula>AND(ISNUMBER(O13),O13&gt;=$N11)</formula>
    </cfRule>
    <cfRule type="cellIs" priority="1117" dxfId="3" operator="notBetween" stopIfTrue="1">
      <formula>0</formula>
      <formula>$N11</formula>
    </cfRule>
  </conditionalFormatting>
  <conditionalFormatting sqref="P14:W14">
    <cfRule type="expression" priority="1118" dxfId="4" stopIfTrue="1">
      <formula>AND(ISNUMBER(O17),O17&gt;=$N14)</formula>
    </cfRule>
  </conditionalFormatting>
  <conditionalFormatting sqref="P15:W15">
    <cfRule type="expression" priority="1119" dxfId="4" stopIfTrue="1">
      <formula>AND(ISNUMBER(O17),O17&gt;=$N14)</formula>
    </cfRule>
  </conditionalFormatting>
  <conditionalFormatting sqref="P16:W16">
    <cfRule type="expression" priority="1120" dxfId="4" stopIfTrue="1">
      <formula>AND(ISNUMBER(O17),O17&gt;=$N14)</formula>
    </cfRule>
    <cfRule type="cellIs" priority="1121" dxfId="3" operator="notBetween" stopIfTrue="1">
      <formula>0</formula>
      <formula>1</formula>
    </cfRule>
  </conditionalFormatting>
  <conditionalFormatting sqref="P17:W17">
    <cfRule type="expression" priority="1122" dxfId="4" stopIfTrue="1">
      <formula>AND(ISNUMBER(O17),O17&gt;=$N14)</formula>
    </cfRule>
    <cfRule type="cellIs" priority="1123" dxfId="3" operator="notBetween" stopIfTrue="1">
      <formula>0</formula>
      <formula>$N14</formula>
    </cfRule>
  </conditionalFormatting>
  <conditionalFormatting sqref="L8">
    <cfRule type="cellIs" priority="1109" dxfId="3" operator="notEqual" stopIfTrue="1">
      <formula>""</formula>
    </cfRule>
  </conditionalFormatting>
  <conditionalFormatting sqref="N9">
    <cfRule type="expression" priority="1108" dxfId="86" stopIfTrue="1">
      <formula>TipoOrçamento&lt;&gt;"REPROGRAMADOAC"</formula>
    </cfRule>
  </conditionalFormatting>
  <conditionalFormatting sqref="L19:M20">
    <cfRule type="expression" priority="1943" dxfId="16" stopIfTrue="1">
      <formula>#REF!=1</formula>
    </cfRule>
  </conditionalFormatting>
  <conditionalFormatting sqref="P11:W11">
    <cfRule type="expression" priority="263" dxfId="2" stopIfTrue="1">
      <formula>AND(ISNUMBER(O13),O13&gt;=$N11)</formula>
    </cfRule>
    <cfRule type="expression" priority="264" dxfId="1" stopIfTrue="1">
      <formula>$B13=FALSE</formula>
    </cfRule>
    <cfRule type="expression" priority="265" dxfId="0" stopIfTrue="1">
      <formula>$C13=1</formula>
    </cfRule>
  </conditionalFormatting>
  <conditionalFormatting sqref="P19:W19">
    <cfRule type="expression" priority="214" dxfId="6" stopIfTrue="1">
      <formula>AND(ISNUMBER(O20),O20&gt;=$N18)</formula>
    </cfRule>
    <cfRule type="cellIs" priority="215" dxfId="3" operator="notBetween" stopIfTrue="1">
      <formula>0</formula>
      <formula>1</formula>
    </cfRule>
  </conditionalFormatting>
  <conditionalFormatting sqref="P20:W20">
    <cfRule type="expression" priority="216" dxfId="4" stopIfTrue="1">
      <formula>AND(ISNUMBER(O20),O20&gt;=$N18)</formula>
    </cfRule>
    <cfRule type="cellIs" priority="217" dxfId="3" operator="notBetween" stopIfTrue="1">
      <formula>0</formula>
      <formula>$N18</formula>
    </cfRule>
  </conditionalFormatting>
  <conditionalFormatting sqref="O10:W10">
    <cfRule type="expression" priority="186" dxfId="53" stopIfTrue="1">
      <formula>1=1</formula>
    </cfRule>
  </conditionalFormatting>
  <conditionalFormatting sqref="P18:W18">
    <cfRule type="expression" priority="141" dxfId="2" stopIfTrue="1">
      <formula>AND(ISNUMBER(O20),O20&gt;=$N18)</formula>
    </cfRule>
    <cfRule type="expression" priority="142" dxfId="1" stopIfTrue="1">
      <formula>$B20=FALSE</formula>
    </cfRule>
    <cfRule type="expression" priority="143" dxfId="0" stopIfTrue="1">
      <formula>$C20=1</formula>
    </cfRule>
  </conditionalFormatting>
  <conditionalFormatting sqref="AC18">
    <cfRule type="expression" priority="61" dxfId="2" stopIfTrue="1">
      <formula>AND(ISNUMBER(AB20),AB20&gt;=$N18)</formula>
    </cfRule>
    <cfRule type="expression" priority="62" dxfId="1" stopIfTrue="1">
      <formula>$B20=FALSE</formula>
    </cfRule>
    <cfRule type="expression" priority="63" dxfId="0" stopIfTrue="1">
      <formula>$C20=1</formula>
    </cfRule>
  </conditionalFormatting>
  <conditionalFormatting sqref="AC12">
    <cfRule type="expression" priority="76" dxfId="6" stopIfTrue="1">
      <formula>AND(ISNUMBER(AB13),AB13&gt;=$N11)</formula>
    </cfRule>
    <cfRule type="cellIs" priority="77" dxfId="3" operator="notBetween" stopIfTrue="1">
      <formula>0</formula>
      <formula>1</formula>
    </cfRule>
  </conditionalFormatting>
  <conditionalFormatting sqref="AC13">
    <cfRule type="expression" priority="78" dxfId="4" stopIfTrue="1">
      <formula>AND(ISNUMBER(AB13),AB13&gt;=$N11)</formula>
    </cfRule>
    <cfRule type="cellIs" priority="79" dxfId="3" operator="notBetween" stopIfTrue="1">
      <formula>0</formula>
      <formula>$N11</formula>
    </cfRule>
  </conditionalFormatting>
  <conditionalFormatting sqref="AC14">
    <cfRule type="expression" priority="80" dxfId="4" stopIfTrue="1">
      <formula>AND(ISNUMBER(AB17),AB17&gt;=$N14)</formula>
    </cfRule>
  </conditionalFormatting>
  <conditionalFormatting sqref="AC15">
    <cfRule type="expression" priority="81" dxfId="4" stopIfTrue="1">
      <formula>AND(ISNUMBER(AB17),AB17&gt;=$N14)</formula>
    </cfRule>
  </conditionalFormatting>
  <conditionalFormatting sqref="AC16">
    <cfRule type="expression" priority="82" dxfId="4" stopIfTrue="1">
      <formula>AND(ISNUMBER(AB17),AB17&gt;=$N14)</formula>
    </cfRule>
    <cfRule type="cellIs" priority="83" dxfId="3" operator="notBetween" stopIfTrue="1">
      <formula>0</formula>
      <formula>1</formula>
    </cfRule>
  </conditionalFormatting>
  <conditionalFormatting sqref="AC17">
    <cfRule type="expression" priority="84" dxfId="4" stopIfTrue="1">
      <formula>AND(ISNUMBER(AB17),AB17&gt;=$N14)</formula>
    </cfRule>
    <cfRule type="cellIs" priority="85" dxfId="3" operator="notBetween" stopIfTrue="1">
      <formula>0</formula>
      <formula>$N14</formula>
    </cfRule>
  </conditionalFormatting>
  <conditionalFormatting sqref="AC11">
    <cfRule type="expression" priority="73" dxfId="2" stopIfTrue="1">
      <formula>AND(ISNUMBER(AB13),AB13&gt;=$N11)</formula>
    </cfRule>
    <cfRule type="expression" priority="74" dxfId="1" stopIfTrue="1">
      <formula>$B13=FALSE</formula>
    </cfRule>
    <cfRule type="expression" priority="75" dxfId="0" stopIfTrue="1">
      <formula>$C13=1</formula>
    </cfRule>
  </conditionalFormatting>
  <conditionalFormatting sqref="AC19">
    <cfRule type="expression" priority="69" dxfId="6" stopIfTrue="1">
      <formula>AND(ISNUMBER(AB20),AB20&gt;=$N18)</formula>
    </cfRule>
    <cfRule type="cellIs" priority="70" dxfId="3" operator="notBetween" stopIfTrue="1">
      <formula>0</formula>
      <formula>1</formula>
    </cfRule>
  </conditionalFormatting>
  <conditionalFormatting sqref="AC20">
    <cfRule type="expression" priority="71" dxfId="4" stopIfTrue="1">
      <formula>AND(ISNUMBER(AB20),AB20&gt;=$N18)</formula>
    </cfRule>
    <cfRule type="cellIs" priority="72" dxfId="3" operator="notBetween" stopIfTrue="1">
      <formula>0</formula>
      <formula>$N18</formula>
    </cfRule>
  </conditionalFormatting>
  <conditionalFormatting sqref="AC10">
    <cfRule type="expression" priority="64" dxfId="53" stopIfTrue="1">
      <formula>1=1</formula>
    </cfRule>
  </conditionalFormatting>
  <conditionalFormatting sqref="L21:N21 L24:N24 L27:N27 L30:N30 L33:N33 L22:M23 L25:M26 L28:M29 L31:M32">
    <cfRule type="expression" priority="45" dxfId="16" stopIfTrue="1">
      <formula>$C23=1</formula>
    </cfRule>
  </conditionalFormatting>
  <conditionalFormatting sqref="O21 O24 O27 O30 O33">
    <cfRule type="expression" priority="50" dxfId="1" stopIfTrue="1">
      <formula>$B23=FALSE</formula>
    </cfRule>
    <cfRule type="expression" priority="51" dxfId="0" stopIfTrue="1">
      <formula>$C23=1</formula>
    </cfRule>
  </conditionalFormatting>
  <conditionalFormatting sqref="P22:W22 P25:W25 P28:W28 P31:W31 P34:W34">
    <cfRule type="expression" priority="46" dxfId="6" stopIfTrue="1">
      <formula>AND(ISNUMBER(O23),O23&gt;=$N21)</formula>
    </cfRule>
    <cfRule type="cellIs" priority="47" dxfId="3" operator="notBetween" stopIfTrue="1">
      <formula>0</formula>
      <formula>1</formula>
    </cfRule>
  </conditionalFormatting>
  <conditionalFormatting sqref="P23:W23 P26:W26 P29:W29 P32:W32 P35:W35">
    <cfRule type="expression" priority="48" dxfId="4" stopIfTrue="1">
      <formula>AND(ISNUMBER(O23),O23&gt;=$N21)</formula>
    </cfRule>
    <cfRule type="cellIs" priority="49" dxfId="3" operator="notBetween" stopIfTrue="1">
      <formula>0</formula>
      <formula>$N21</formula>
    </cfRule>
  </conditionalFormatting>
  <conditionalFormatting sqref="P21:W21 P24:W24 P27:W27 P30:W30 P33:W33">
    <cfRule type="expression" priority="42" dxfId="2" stopIfTrue="1">
      <formula>AND(ISNUMBER(O23),O23&gt;=$N21)</formula>
    </cfRule>
    <cfRule type="expression" priority="43" dxfId="1" stopIfTrue="1">
      <formula>$B23=FALSE</formula>
    </cfRule>
    <cfRule type="expression" priority="44" dxfId="0" stopIfTrue="1">
      <formula>$C23=1</formula>
    </cfRule>
  </conditionalFormatting>
  <conditionalFormatting sqref="AC22 AC25 AC28 AC31 AC34">
    <cfRule type="expression" priority="38" dxfId="6" stopIfTrue="1">
      <formula>AND(ISNUMBER(AB23),AB23&gt;=$N21)</formula>
    </cfRule>
    <cfRule type="cellIs" priority="39" dxfId="3" operator="notBetween" stopIfTrue="1">
      <formula>0</formula>
      <formula>1</formula>
    </cfRule>
  </conditionalFormatting>
  <conditionalFormatting sqref="AC23 AC26 AC29 AC32 AC35">
    <cfRule type="expression" priority="40" dxfId="4" stopIfTrue="1">
      <formula>AND(ISNUMBER(AB23),AB23&gt;=$N21)</formula>
    </cfRule>
    <cfRule type="cellIs" priority="41" dxfId="3" operator="notBetween" stopIfTrue="1">
      <formula>0</formula>
      <formula>$N21</formula>
    </cfRule>
  </conditionalFormatting>
  <conditionalFormatting sqref="AC21 AC24 AC27 AC30 AC33">
    <cfRule type="expression" priority="35" dxfId="2" stopIfTrue="1">
      <formula>AND(ISNUMBER(AB23),AB23&gt;=$N21)</formula>
    </cfRule>
    <cfRule type="expression" priority="36" dxfId="1" stopIfTrue="1">
      <formula>$B23=FALSE</formula>
    </cfRule>
    <cfRule type="expression" priority="37" dxfId="0" stopIfTrue="1">
      <formula>$C23=1</formula>
    </cfRule>
  </conditionalFormatting>
  <conditionalFormatting sqref="L34:M35">
    <cfRule type="expression" priority="2242" dxfId="16" stopIfTrue="1">
      <formula>#REF!=1</formula>
    </cfRule>
  </conditionalFormatting>
  <conditionalFormatting sqref="L36:N36 L39:N39 L42:N42 L45:N45 L48:N48 L51:N51 L37:M38 L40:M41 L43:M44 L46:M47 L49:M50">
    <cfRule type="expression" priority="28" dxfId="16" stopIfTrue="1">
      <formula>$C38=1</formula>
    </cfRule>
  </conditionalFormatting>
  <conditionalFormatting sqref="O36 O39 O42 O45 O48 O51">
    <cfRule type="expression" priority="33" dxfId="1" stopIfTrue="1">
      <formula>$B38=FALSE</formula>
    </cfRule>
    <cfRule type="expression" priority="34" dxfId="0" stopIfTrue="1">
      <formula>$C38=1</formula>
    </cfRule>
  </conditionalFormatting>
  <conditionalFormatting sqref="P37:W37 P40:W40 P43:W43 P46:W46 P49:W49 P52:W52">
    <cfRule type="expression" priority="29" dxfId="6" stopIfTrue="1">
      <formula>AND(ISNUMBER(O38),O38&gt;=$N36)</formula>
    </cfRule>
    <cfRule type="cellIs" priority="30" dxfId="3" operator="notBetween" stopIfTrue="1">
      <formula>0</formula>
      <formula>1</formula>
    </cfRule>
  </conditionalFormatting>
  <conditionalFormatting sqref="P38:W38 P41:W41 P44:W44 P47:W47 P50:W50 P53:W53">
    <cfRule type="expression" priority="31" dxfId="4" stopIfTrue="1">
      <formula>AND(ISNUMBER(O38),O38&gt;=$N36)</formula>
    </cfRule>
    <cfRule type="cellIs" priority="32" dxfId="3" operator="notBetween" stopIfTrue="1">
      <formula>0</formula>
      <formula>$N36</formula>
    </cfRule>
  </conditionalFormatting>
  <conditionalFormatting sqref="P36:W36 P39:W39 P42:W42 P45:W45 P48:W48 P51:W51">
    <cfRule type="expression" priority="25" dxfId="2" stopIfTrue="1">
      <formula>AND(ISNUMBER(O38),O38&gt;=$N36)</formula>
    </cfRule>
    <cfRule type="expression" priority="26" dxfId="1" stopIfTrue="1">
      <formula>$B38=FALSE</formula>
    </cfRule>
    <cfRule type="expression" priority="27" dxfId="0" stopIfTrue="1">
      <formula>$C38=1</formula>
    </cfRule>
  </conditionalFormatting>
  <conditionalFormatting sqref="AC37 AC40 AC43 AC46 AC49 AC52">
    <cfRule type="expression" priority="21" dxfId="6" stopIfTrue="1">
      <formula>AND(ISNUMBER(AB38),AB38&gt;=$N36)</formula>
    </cfRule>
    <cfRule type="cellIs" priority="22" dxfId="3" operator="notBetween" stopIfTrue="1">
      <formula>0</formula>
      <formula>1</formula>
    </cfRule>
  </conditionalFormatting>
  <conditionalFormatting sqref="AC38 AC41 AC44 AC47 AC50 AC53">
    <cfRule type="expression" priority="23" dxfId="4" stopIfTrue="1">
      <formula>AND(ISNUMBER(AB38),AB38&gt;=$N36)</formula>
    </cfRule>
    <cfRule type="cellIs" priority="24" dxfId="3" operator="notBetween" stopIfTrue="1">
      <formula>0</formula>
      <formula>$N36</formula>
    </cfRule>
  </conditionalFormatting>
  <conditionalFormatting sqref="AC36 AC39 AC42 AC45 AC48 AC51">
    <cfRule type="expression" priority="18" dxfId="2" stopIfTrue="1">
      <formula>AND(ISNUMBER(AB38),AB38&gt;=$N36)</formula>
    </cfRule>
    <cfRule type="expression" priority="19" dxfId="1" stopIfTrue="1">
      <formula>$B38=FALSE</formula>
    </cfRule>
    <cfRule type="expression" priority="20" dxfId="0" stopIfTrue="1">
      <formula>$C38=1</formula>
    </cfRule>
  </conditionalFormatting>
  <conditionalFormatting sqref="L52:M53">
    <cfRule type="expression" priority="2798" dxfId="16" stopIfTrue="1">
      <formula>#REF!=1</formula>
    </cfRule>
  </conditionalFormatting>
  <conditionalFormatting sqref="L54:N54 L57:N57 L55:M56 L58:M59">
    <cfRule type="expression" priority="11" dxfId="16" stopIfTrue="1">
      <formula>$C56=1</formula>
    </cfRule>
  </conditionalFormatting>
  <conditionalFormatting sqref="O54 O57">
    <cfRule type="expression" priority="16" dxfId="1" stopIfTrue="1">
      <formula>$B56=FALSE</formula>
    </cfRule>
    <cfRule type="expression" priority="17" dxfId="0" stopIfTrue="1">
      <formula>$C56=1</formula>
    </cfRule>
  </conditionalFormatting>
  <conditionalFormatting sqref="P55:W55 P58:W58">
    <cfRule type="expression" priority="12" dxfId="6" stopIfTrue="1">
      <formula>AND(ISNUMBER(O56),O56&gt;=$N54)</formula>
    </cfRule>
    <cfRule type="cellIs" priority="13" dxfId="3" operator="notBetween" stopIfTrue="1">
      <formula>0</formula>
      <formula>1</formula>
    </cfRule>
  </conditionalFormatting>
  <conditionalFormatting sqref="P56:W56 P59:W59">
    <cfRule type="expression" priority="14" dxfId="4" stopIfTrue="1">
      <formula>AND(ISNUMBER(O56),O56&gt;=$N54)</formula>
    </cfRule>
    <cfRule type="cellIs" priority="15" dxfId="3" operator="notBetween" stopIfTrue="1">
      <formula>0</formula>
      <formula>$N54</formula>
    </cfRule>
  </conditionalFormatting>
  <conditionalFormatting sqref="P54:W54 P57:W57">
    <cfRule type="expression" priority="8" dxfId="2" stopIfTrue="1">
      <formula>AND(ISNUMBER(O56),O56&gt;=$N54)</formula>
    </cfRule>
    <cfRule type="expression" priority="9" dxfId="1" stopIfTrue="1">
      <formula>$B56=FALSE</formula>
    </cfRule>
    <cfRule type="expression" priority="10" dxfId="0" stopIfTrue="1">
      <formula>$C56=1</formula>
    </cfRule>
  </conditionalFormatting>
  <conditionalFormatting sqref="AC55 AC58">
    <cfRule type="expression" priority="4" dxfId="6" stopIfTrue="1">
      <formula>AND(ISNUMBER(AB56),AB56&gt;=$N54)</formula>
    </cfRule>
    <cfRule type="cellIs" priority="5" dxfId="3" operator="notBetween" stopIfTrue="1">
      <formula>0</formula>
      <formula>1</formula>
    </cfRule>
  </conditionalFormatting>
  <conditionalFormatting sqref="AC56 AC59">
    <cfRule type="expression" priority="6" dxfId="4" stopIfTrue="1">
      <formula>AND(ISNUMBER(AB56),AB56&gt;=$N54)</formula>
    </cfRule>
    <cfRule type="cellIs" priority="7" dxfId="3" operator="notBetween" stopIfTrue="1">
      <formula>0</formula>
      <formula>$N54</formula>
    </cfRule>
  </conditionalFormatting>
  <conditionalFormatting sqref="AC54 AC57">
    <cfRule type="expression" priority="1" dxfId="2" stopIfTrue="1">
      <formula>AND(ISNUMBER(AB56),AB56&gt;=$N54)</formula>
    </cfRule>
    <cfRule type="expression" priority="2" dxfId="1" stopIfTrue="1">
      <formula>$B56=FALSE</formula>
    </cfRule>
    <cfRule type="expression" priority="3" dxfId="0" stopIfTrue="1">
      <formula>$C56=1</formula>
    </cfRule>
  </conditionalFormatting>
  <dataValidations count="2">
    <dataValidation type="whole" operator="greaterThanOrEqual" allowBlank="1" showInputMessage="1" showErrorMessage="1" promptTitle="Qtde de Medições já realizadas:" prompt="Digite a quantidade de medições já realizadas para o CTEF antes da Reprogramação." errorTitle="Erro de Valor" error="Digite somente números inteiros positivos." sqref="N9">
      <formula1>0</formula1>
    </dataValidation>
    <dataValidation type="decimal" allowBlank="1" showInputMessage="1" showErrorMessage="1" errorTitle="Erro de Dados" error="Digite valores maiores ou iguais à 0%. O % acumulado não deve ultrapassar 100%." sqref="P11:W11 P18:W18 AC11 AC18 P21:W21 P24:W24 P27:W27 P30:W30 P33:W33 AC21 AC24 AC27 AC30 AC33 P36:W36 P39:W39 P42:W42 P45:W45 P48:W48 P51:W51 AC36 AC39 AC42 AC45 AC48 AC51 P54:W54 P57:W57 AC54 AC57">
      <formula1>0</formula1>
      <formula2>1-SUM($P11:P11)+P11</formula2>
    </dataValidation>
  </dataValidations>
  <printOptions horizontalCentered="1"/>
  <pageMargins left="0.7874015748031497" right="0.7874015748031497" top="0.7874015748031497" bottom="0.7874015748031497" header="0.5905511811023623" footer="0.5905511811023623"/>
  <pageSetup fitToHeight="0" fitToWidth="0" horizontalDpi="600" verticalDpi="600" orientation="landscape" paperSize="9" scale="62" r:id="rId3"/>
  <headerFooter alignWithMargins="0">
    <oddHeader>&amp;C&amp;14I</oddHeader>
    <oddFooter>&amp;L27.476 v008   micro&amp;R&amp;P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caixa econômica federal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Usuário</dc:creator>
  <cp:keywords/>
  <dc:description/>
  <cp:lastModifiedBy>rossa</cp:lastModifiedBy>
  <cp:lastPrinted>2021-09-29T12:11:04Z</cp:lastPrinted>
  <dcterms:created xsi:type="dcterms:W3CDTF">1998-03-27T18:43:07Z</dcterms:created>
  <dcterms:modified xsi:type="dcterms:W3CDTF">2023-06-16T11:26:44Z</dcterms:modified>
  <cp:category/>
  <cp:version/>
  <cp:contentType/>
  <cp:contentStatus/>
</cp:coreProperties>
</file>