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7256" windowHeight="5580" tabRatio="813" activeTab="0"/>
  </bookViews>
  <sheets>
    <sheet name="Orçamento" sheetId="1" r:id="rId1"/>
    <sheet name="Memoria Calculo" sheetId="2" r:id="rId2"/>
    <sheet name="Cronograma" sheetId="3" r:id="rId3"/>
    <sheet name="Composições" sheetId="4" r:id="rId4"/>
    <sheet name="Larguras" sheetId="5" r:id="rId5"/>
    <sheet name="Volumes" sheetId="6" r:id="rId6"/>
    <sheet name="Drenagem Pluvial" sheetId="7" r:id="rId7"/>
    <sheet name="Sinalização" sheetId="8" r:id="rId8"/>
    <sheet name="BDI Composição" sheetId="9" r:id="rId9"/>
    <sheet name="BDI Composição - declaração" sheetId="10" r:id="rId10"/>
    <sheet name="BDI Insumos" sheetId="11" r:id="rId11"/>
    <sheet name="BDI Insumos - declaração" sheetId="12" r:id="rId12"/>
    <sheet name="Encargos socias" sheetId="13" r:id="rId13"/>
  </sheets>
  <externalReferences>
    <externalReference r:id="rId16"/>
    <externalReference r:id="rId17"/>
    <externalReference r:id="rId18"/>
  </externalReferences>
  <definedNames>
    <definedName name="_xlfn.ARABIC" hidden="1">#NAME?</definedName>
    <definedName name="_xlfn.COUNTIFS" hidden="1">#NAME?</definedName>
    <definedName name="_xlfn.SUMIFS" hidden="1">#NAME?</definedName>
    <definedName name="_xlnm.Print_Area" localSheetId="9">'BDI Composição - declaração'!$A$1:$F$43</definedName>
    <definedName name="_xlnm.Print_Area" localSheetId="11">'BDI Insumos - declaração'!$A$1:$F$43</definedName>
    <definedName name="_xlnm.Print_Area" localSheetId="3">'Composições'!$A$1:$H$87</definedName>
    <definedName name="_xlnm.Print_Area" localSheetId="2">'Cronograma'!$A$1:$G$27</definedName>
    <definedName name="_xlnm.Print_Area" localSheetId="6">'Drenagem Pluvial'!$A$1:$S$36</definedName>
    <definedName name="_xlnm.Print_Area" localSheetId="12">'Encargos socias'!$B$1:$D$51</definedName>
    <definedName name="_xlnm.Print_Area" localSheetId="4">'Larguras'!$B$1:$C$35</definedName>
    <definedName name="_xlnm.Print_Area" localSheetId="1">'Memoria Calculo'!$A$1:$D$102</definedName>
    <definedName name="_xlnm.Print_Area" localSheetId="0">'Orçamento'!$A$1:$O$86</definedName>
    <definedName name="_xlnm.Print_Area" localSheetId="5">'Volumes'!$A$1:$L$38</definedName>
    <definedName name="BASEDECALCULO">#REF!</definedName>
    <definedName name="BCALC">#REF!</definedName>
    <definedName name="BDI" localSheetId="12">#REF!</definedName>
    <definedName name="BDI">#REF!</definedName>
    <definedName name="BDI2" localSheetId="12">#REF!</definedName>
    <definedName name="BDI2">#REF!</definedName>
    <definedName name="CREACAU">#REF!</definedName>
    <definedName name="DifBDI" localSheetId="12">#REF!</definedName>
    <definedName name="DifBDI">#REF!</definedName>
    <definedName name="DifBDI2" localSheetId="12">#REF!</definedName>
    <definedName name="DifBDI2">#REF!</definedName>
    <definedName name="ENC">#REF!</definedName>
    <definedName name="ENCARGOS">#REF!</definedName>
    <definedName name="ente">#REF!</definedName>
    <definedName name="regime">#REF!</definedName>
    <definedName name="_xlnm.Print_Titles" localSheetId="1">'Memoria Calculo'!$1:$6</definedName>
    <definedName name="_xlnm.Print_Titles" localSheetId="0">'Orçamento'!$9:$10</definedName>
  </definedNames>
  <calcPr fullCalcOnLoad="1"/>
</workbook>
</file>

<file path=xl/sharedStrings.xml><?xml version="1.0" encoding="utf-8"?>
<sst xmlns="http://schemas.openxmlformats.org/spreadsheetml/2006/main" count="1534" uniqueCount="566">
  <si>
    <t>Item</t>
  </si>
  <si>
    <t>Descrição</t>
  </si>
  <si>
    <t>Quant.</t>
  </si>
  <si>
    <t>m³</t>
  </si>
  <si>
    <t>m²</t>
  </si>
  <si>
    <t>PAVIMENTAÇÃO</t>
  </si>
  <si>
    <t>m</t>
  </si>
  <si>
    <t>Área:</t>
  </si>
  <si>
    <t>Und</t>
  </si>
  <si>
    <t>1.1</t>
  </si>
  <si>
    <t>2.1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</si>
  <si>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</si>
  <si>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</si>
  <si>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</si>
  <si>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</si>
  <si>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</si>
  <si>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</si>
  <si>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</si>
  <si>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</si>
  <si>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</si>
  <si>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und</t>
  </si>
  <si>
    <t>3.8</t>
  </si>
  <si>
    <t>3.9</t>
  </si>
  <si>
    <t>Total</t>
  </si>
  <si>
    <t>Material</t>
  </si>
  <si>
    <t>M. Obra</t>
  </si>
  <si>
    <t>5.1</t>
  </si>
  <si>
    <t>5.2</t>
  </si>
  <si>
    <t>TOTAL DO ORÇAMENTO</t>
  </si>
  <si>
    <t>SERVIÇOS PRELIMINARES</t>
  </si>
  <si>
    <t>MOVIMENTAÇÃO DE TERRA</t>
  </si>
  <si>
    <t>4.3</t>
  </si>
  <si>
    <t>4.4</t>
  </si>
  <si>
    <t>4.5</t>
  </si>
  <si>
    <t>4.6</t>
  </si>
  <si>
    <t>4.7</t>
  </si>
  <si>
    <t>4.8</t>
  </si>
  <si>
    <t>4.9</t>
  </si>
  <si>
    <t>4.10</t>
  </si>
  <si>
    <t>DRENAGEM DE ÁGUAS PLUVIAIS</t>
  </si>
  <si>
    <t>SINALIZAÇÃO VIÁRIA</t>
  </si>
  <si>
    <t>TOTAL</t>
  </si>
  <si>
    <t>%</t>
  </si>
  <si>
    <t>CRONOGRAMA FÍSICO-FINANCEIRO</t>
  </si>
  <si>
    <t>ITEM</t>
  </si>
  <si>
    <t>DISCRIMINAÇÃO</t>
  </si>
  <si>
    <t>Valor (R$)</t>
  </si>
  <si>
    <t>PRAZO EM MESES</t>
  </si>
  <si>
    <t>ACUMUL</t>
  </si>
  <si>
    <t>1º</t>
  </si>
  <si>
    <t>2º</t>
  </si>
  <si>
    <t>TOTAL MENSAL</t>
  </si>
  <si>
    <t>TOTAL ACUMULADO</t>
  </si>
  <si>
    <t>Aterro</t>
  </si>
  <si>
    <t>73856/003</t>
  </si>
  <si>
    <t xml:space="preserve">BDI APLICADO = </t>
  </si>
  <si>
    <t>Informações Projeto</t>
  </si>
  <si>
    <t>Pista</t>
  </si>
  <si>
    <t>Brita</t>
  </si>
  <si>
    <t>Base</t>
  </si>
  <si>
    <t>CBUQ</t>
  </si>
  <si>
    <t>Larguras</t>
  </si>
  <si>
    <t>Regularização</t>
  </si>
  <si>
    <t>Imprimação</t>
  </si>
  <si>
    <t>Pintura Ligação</t>
  </si>
  <si>
    <t>h</t>
  </si>
  <si>
    <t>REATERRO DE VALA COM MATERIAL GRANULAR REAPROVEITADO</t>
  </si>
  <si>
    <t>TUBO CONCRETO SIMPLES DN 400MM P/AGUAS PLUVIAIS</t>
  </si>
  <si>
    <t>TUBO CONCRETO SIMPLES DN 600MM P/AGUAS PLUVIAIS</t>
  </si>
  <si>
    <t>ASSENTAMENTO DE TUBOS DE CONCRETO DN 400MM</t>
  </si>
  <si>
    <t>ASSENTAMENTO DE TUBOS DE CONCRETO DN 600MM</t>
  </si>
  <si>
    <t>BOCA PARA BUEIRO SIMPLES TUBULAR, DIAMETRO =0,60M</t>
  </si>
  <si>
    <t>TUBO CONCRETO ARMADO DN 800MM P/AGUAS PLUVIAIS</t>
  </si>
  <si>
    <t>ASSENTAMENTO DE TUBOS DE CONCRETO DN 800MM</t>
  </si>
  <si>
    <t>POCO DE VISITA EM ALVENARIA, PARA REDE D=0,40 M C/ 1,00 M DE ALTURA</t>
  </si>
  <si>
    <t>POCO DE VISITA EM ALVENARIA, PARA REDE D=0,60 M C/ 1,00 M DE ALTURA</t>
  </si>
  <si>
    <t>ORÇAMENTO DE SERVIÇOS</t>
  </si>
  <si>
    <t>1.2</t>
  </si>
  <si>
    <t>TOTAL DO SUB-ITEM</t>
  </si>
  <si>
    <t>2.2</t>
  </si>
  <si>
    <t>2.3</t>
  </si>
  <si>
    <t>4.11</t>
  </si>
  <si>
    <t>4.12</t>
  </si>
  <si>
    <t>4.13</t>
  </si>
  <si>
    <t>Rachão</t>
  </si>
  <si>
    <t>Tabelas de referência utilizadas:</t>
  </si>
  <si>
    <t>Responsável técnico:</t>
  </si>
  <si>
    <t>CREA:</t>
  </si>
  <si>
    <t>Referência</t>
  </si>
  <si>
    <t>Seviços</t>
  </si>
  <si>
    <t>1.3</t>
  </si>
  <si>
    <t>1.4</t>
  </si>
  <si>
    <t>Desloc. Equip. médio porte - caminhão espargidor</t>
  </si>
  <si>
    <t>Desloc. Equip. médio porte - caminhão pipa</t>
  </si>
  <si>
    <t>Desloc. Equip. médio porte - caminhão carroceria</t>
  </si>
  <si>
    <t>TOTAL DA COMPOSIÇÃO</t>
  </si>
  <si>
    <t>PIS</t>
  </si>
  <si>
    <t>COFINS</t>
  </si>
  <si>
    <t/>
  </si>
  <si>
    <t>MOBILIZAÇÃO E DESMOBILIZAÇÃO</t>
  </si>
  <si>
    <t>Código</t>
  </si>
  <si>
    <t>H</t>
  </si>
  <si>
    <t>SERVENTE COM ENCARGOS COMPLEMENTARES</t>
  </si>
  <si>
    <t>IMPRIMACAO DE BASE DE BRITA GRADUADA COM EMULSAO CM-30</t>
  </si>
  <si>
    <t>REGULARIZACAO E COMPACTACAO DE SUBLEITO</t>
  </si>
  <si>
    <t>SINAPI</t>
  </si>
  <si>
    <t>Origem Preço</t>
  </si>
  <si>
    <t>Tabela</t>
  </si>
  <si>
    <t>DAER</t>
  </si>
  <si>
    <t>SICRO</t>
  </si>
  <si>
    <t>CHP</t>
  </si>
  <si>
    <t>PINTURA DE LIGACAO COM EMULSAO RR-2C</t>
  </si>
  <si>
    <t>LIMPEZA MECANIZADA DE TERRENO COM REMOCAO DE CAMADA VEGETAL</t>
  </si>
  <si>
    <t>E9509</t>
  </si>
  <si>
    <t>E9571</t>
  </si>
  <si>
    <t>E9506</t>
  </si>
  <si>
    <t>E9687</t>
  </si>
  <si>
    <t>E9684</t>
  </si>
  <si>
    <t>POCO DE VISITA EM ALVENARIA, PARA REDE D=0,80 M C/ 1,00 M DE ALTURA</t>
  </si>
  <si>
    <t>COMPOSIÇÃO DE CUSTOS</t>
  </si>
  <si>
    <t>Custo R$</t>
  </si>
  <si>
    <t>Unit.</t>
  </si>
  <si>
    <t>Quant</t>
  </si>
  <si>
    <t>CHI</t>
  </si>
  <si>
    <t>Km</t>
  </si>
  <si>
    <t>Corte total</t>
  </si>
  <si>
    <t>Corte 3ª cat.</t>
  </si>
  <si>
    <t>Corte 1ª cat.</t>
  </si>
  <si>
    <t>Terraplenagem</t>
  </si>
  <si>
    <t>ADMINISTRAÇÃO LOCAL DA OBRA</t>
  </si>
  <si>
    <t>Equipe Técnica da Obra</t>
  </si>
  <si>
    <t>Veículos de serviço</t>
  </si>
  <si>
    <t>PEDREIRO COM ENCARGOS COMPLEMENTARES</t>
  </si>
  <si>
    <t>Preços unitários com BDI (R$)</t>
  </si>
  <si>
    <t>Preços totais com BDI (R$)</t>
  </si>
  <si>
    <t>DMT (km)</t>
  </si>
  <si>
    <t>Custo sem BDI (R$)</t>
  </si>
  <si>
    <t>CP1</t>
  </si>
  <si>
    <t>CP2</t>
  </si>
  <si>
    <t>CP1 - MOBILIZAÇÃO E DESMOBILIZAÇÃO</t>
  </si>
  <si>
    <t>CP2 - ADMINISTRAÇÃO LOCAL DA OBRA</t>
  </si>
  <si>
    <t>PÁ CARREGADEIRA SOBRE RODAS</t>
  </si>
  <si>
    <t xml:space="preserve">MOTONIVELADORA </t>
  </si>
  <si>
    <t>ROLO COMPACTADOR LISO</t>
  </si>
  <si>
    <t>TRATOR DE ESTEIRAS</t>
  </si>
  <si>
    <t>ENCARREGADO GERAL COM ENCARGOS COMPLEMENTARES</t>
  </si>
  <si>
    <t>m3</t>
  </si>
  <si>
    <t>PEDRA DE MAO OU PEDRA RACHAO</t>
  </si>
  <si>
    <t>PEDRA BRITADA N. 1</t>
  </si>
  <si>
    <t>E9018</t>
  </si>
  <si>
    <t>Transp.equip.pesado (EM CAMINHÃO-PRANCHA) - motoniveladora</t>
  </si>
  <si>
    <t>Transp.equip.pesado (EM CAMINHÃO-PRANCHA) - escavadeira hidr.</t>
  </si>
  <si>
    <t>Transp.equip.pesado (EM CAMINHÃO-PRANCHA) - vibroacabadora</t>
  </si>
  <si>
    <t>OBS 1: para composição da mobilização e desmobilização dos equipamentos pesados, foi utilizado o item E9018 do Sicro (Cavalo mecânico com semi-reboque de 6 eixos com capacidade de 74 t - 324 kW</t>
  </si>
  <si>
    <t>OBS 2: para composição da mobilização e desmobilização dos equipamentos de pequeno e médio porte, foi utilizado o item do Sicro respectivo de cada equipamento, visto que os mesmos não são transportados. Como estarão em deslocamento para a obra, o valor utilizado foi de CHP.</t>
  </si>
  <si>
    <t>NÃO É NECESSÁRIO IMPRIMIR ESTA ABA</t>
  </si>
  <si>
    <t>PREENCHA OS CAMPOS EM AMARELO E IMPRIMA A ABA "DECLARAÇÃO"</t>
  </si>
  <si>
    <t>Prefeitura Municipal de</t>
  </si>
  <si>
    <t>Empresa</t>
  </si>
  <si>
    <t>Tomador/Empresa:</t>
  </si>
  <si>
    <t>Município:</t>
  </si>
  <si>
    <t>Nº contrato:</t>
  </si>
  <si>
    <t>Objeto:</t>
  </si>
  <si>
    <t>Encargos :</t>
  </si>
  <si>
    <t>desonerados</t>
  </si>
  <si>
    <t>Data:</t>
  </si>
  <si>
    <t>Nome orçamentista:</t>
  </si>
  <si>
    <t>CREA nº</t>
  </si>
  <si>
    <t xml:space="preserve">CREA nº </t>
  </si>
  <si>
    <t xml:space="preserve">CAU nº </t>
  </si>
  <si>
    <t>Nome do prefeito</t>
  </si>
  <si>
    <t>CPF do prefeito</t>
  </si>
  <si>
    <t>Regime de execução:</t>
  </si>
  <si>
    <t>empreitada por preço global</t>
  </si>
  <si>
    <t>empreitada por preço unitário</t>
  </si>
  <si>
    <t>sem desoneração</t>
  </si>
  <si>
    <t>Alíquota ISSQN:</t>
  </si>
  <si>
    <t>Base de cálculo ISSQN:</t>
  </si>
  <si>
    <t>valor da mão de obra</t>
  </si>
  <si>
    <t>valor total da obra</t>
  </si>
  <si>
    <t>% de Mão de Obra (em relação ao valor total da obra):</t>
  </si>
  <si>
    <t>Cálculo do BDI conforme Acórdão 2622/2013 TCU</t>
  </si>
  <si>
    <t>SELECIONE O
TIPO DE OBRA:</t>
  </si>
  <si>
    <t>2 - Construção de Rodovias e Ferrovias</t>
  </si>
  <si>
    <t>Itens</t>
  </si>
  <si>
    <t>Adotado</t>
  </si>
  <si>
    <t>MÍN</t>
  </si>
  <si>
    <t>MÁX</t>
  </si>
  <si>
    <t>1 - Construção de Edifícios</t>
  </si>
  <si>
    <t>MIN</t>
  </si>
  <si>
    <t>AC</t>
  </si>
  <si>
    <t>ADM CENTRAL</t>
  </si>
  <si>
    <t>1a</t>
  </si>
  <si>
    <t>S+G</t>
  </si>
  <si>
    <t>SEGURO E GARANTIA</t>
  </si>
  <si>
    <t>3 - Construção de Redes de Abastecimento de Água, Coleta de Esgoto e Construções Correlatas</t>
  </si>
  <si>
    <t>1b</t>
  </si>
  <si>
    <t>R</t>
  </si>
  <si>
    <t>RISCO</t>
  </si>
  <si>
    <t>4 - Construção e Manutenção de Estações e Redes de Distribuição de Energia Elétrica</t>
  </si>
  <si>
    <t>1c</t>
  </si>
  <si>
    <t>DF</t>
  </si>
  <si>
    <t xml:space="preserve"> DESP. FINANCEIRAS</t>
  </si>
  <si>
    <t>5 - Obras Portuárias, Marítimas e Fluviais</t>
  </si>
  <si>
    <t>1d</t>
  </si>
  <si>
    <t>L</t>
  </si>
  <si>
    <t>LUCRO</t>
  </si>
  <si>
    <t>6 - Fornecimento de Materiais e Equipamentos</t>
  </si>
  <si>
    <t>1e</t>
  </si>
  <si>
    <t>I</t>
  </si>
  <si>
    <t>IMPOSTOS</t>
  </si>
  <si>
    <t>conf. Legislação</t>
  </si>
  <si>
    <t>2a</t>
  </si>
  <si>
    <t>ISSQN (Alíquota x %Base de cálculo)</t>
  </si>
  <si>
    <t>CPRB (p/ desonerado)</t>
  </si>
  <si>
    <t>IMPOSTOS (Desonerado)</t>
  </si>
  <si>
    <t>2b</t>
  </si>
  <si>
    <t>2c</t>
  </si>
  <si>
    <t>Fórmula do BDI</t>
  </si>
  <si>
    <t>2d</t>
  </si>
  <si>
    <t>BDI =</t>
  </si>
  <si>
    <t>(1 + AC + S + G + R) * (1 + DF) * (1 + L)</t>
  </si>
  <si>
    <t>2e</t>
  </si>
  <si>
    <t>(1 - I)</t>
  </si>
  <si>
    <t>3a</t>
  </si>
  <si>
    <t>3b</t>
  </si>
  <si>
    <t>BDI Resultante</t>
  </si>
  <si>
    <t>3c</t>
  </si>
  <si>
    <t>3d</t>
  </si>
  <si>
    <t>BDI Desonerado:</t>
  </si>
  <si>
    <t>3e</t>
  </si>
  <si>
    <t>IMPORTANTE: Se o percentual total do BDI exceder o máximo previsto pelo Acórdão 2622/20013, o detalhamento do BDI deve ser acompanhado de relatório técnico circunstanciado, justificando a adoção do percentual adotado para cada parcela do BDI, assinado pelo profissional responsável técnico do orçamento, usando como diretriz os percentuais máximos e mínimos previstos para cada item.</t>
  </si>
  <si>
    <t>* O BDI máximo pode ser ultrapassado nos casos em que a empresa vencedora da licitação se enquadre na desoneração (conforme Medida Provisória 601/2012). Neste caso, após definir o BDI "sem desoneração" respeitando os limites das tabelas acima, o cálculo do BDI "desonerado" é feito acrescentando 2% ao item "I - PIS, COFINS e ISSQN", sem alterar as demais parcelas da fórmula.</t>
  </si>
  <si>
    <t>4b</t>
  </si>
  <si>
    <t>* IMPORTANTE: Esta planilha foi desenvolvida para abranger às situações mais comuns. Poderá haver situações em que este modelo não se aplica. Não é obrigatório o uso desta planilha.</t>
  </si>
  <si>
    <t>4c</t>
  </si>
  <si>
    <t>4d</t>
  </si>
  <si>
    <t>4e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</si>
  <si>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</si>
  <si>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</si>
  <si>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</si>
  <si>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</si>
  <si>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</si>
  <si>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</si>
  <si>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</si>
  <si>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</si>
  <si>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</si>
  <si>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</si>
  <si>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1f</t>
  </si>
  <si>
    <t>2f</t>
  </si>
  <si>
    <t>3f</t>
  </si>
  <si>
    <t>4f</t>
  </si>
  <si>
    <t>5f</t>
  </si>
  <si>
    <t>6f</t>
  </si>
  <si>
    <t>Declaração</t>
  </si>
  <si>
    <t>Composição do BDI (conforme Acórdão 2622/2013 TCU)</t>
  </si>
  <si>
    <t>TIPO DE OBRA:</t>
  </si>
  <si>
    <t>DESP. FINANCEIRAS</t>
  </si>
  <si>
    <t>ISSQN (Aliquota x %Base de cálculo)</t>
  </si>
  <si>
    <t>CPRB</t>
  </si>
  <si>
    <t>4a</t>
  </si>
  <si>
    <t>CAU n°</t>
  </si>
  <si>
    <t>CONCRETO BETUMINOSO USINADO A QUENTE(CBUQ),CAP 50/70, EXCLUSIVE TRANSPORTE) - E= 5cm</t>
  </si>
  <si>
    <t>ENCARGOS SOCIAIS E TRABALHISTAS</t>
  </si>
  <si>
    <t>Células editaveis</t>
  </si>
  <si>
    <t>Lado direito</t>
  </si>
  <si>
    <t>Lado esquerdo</t>
  </si>
  <si>
    <t>Folga Base</t>
  </si>
  <si>
    <t>Folga Terraplenagem</t>
  </si>
  <si>
    <t>Calçada</t>
  </si>
  <si>
    <t>Espessuras</t>
  </si>
  <si>
    <t>TRANSPORTE LOCAL RODOVIA PAVIMENTADA</t>
  </si>
  <si>
    <t>TRANSPORTE DOS MATERIAIS PETREOS</t>
  </si>
  <si>
    <t>SINALIZACAO HORIZONTAL MECANIZADA</t>
  </si>
  <si>
    <t>TRANSPORTE DO RACHÃO</t>
  </si>
  <si>
    <t>ATERRO DE GREIDE COM MATERIAL DE JAZIDA (EMPRESTIMO), INCLUSIVE COMPACTAÇÃO</t>
  </si>
  <si>
    <t>REATERRO DO MATERIAL REMOVIDO COM RACHÃO ENCHIMENTO BRITA E CAMADA BLOQUEIO, INCLUSIVE COMPACTAÇÃO</t>
  </si>
  <si>
    <t>SUB-BASE RACHÃO ENCHIMENTO BRITA E CAMADA BLOQUEIO, INCLUSIVE COMPACTAÇÃO - E= 15CM</t>
  </si>
  <si>
    <t>BASE DE BRITA GRADUADA, INCLUSIVE COMPACTAÇÃO - E= 15CM</t>
  </si>
  <si>
    <t>Engenheiro Pleno (0,5 hora por dia útil)</t>
  </si>
  <si>
    <t>Camionete pick-up (1,0 hora por dia útil)</t>
  </si>
  <si>
    <t>INSUMO</t>
  </si>
  <si>
    <t>CP12</t>
  </si>
  <si>
    <t>CP13</t>
  </si>
  <si>
    <t>m³xkm</t>
  </si>
  <si>
    <t>ESPALHAMENTO DE MATERIAL COM TRATOR DE ESTEIRAS</t>
  </si>
  <si>
    <t>100576</t>
  </si>
  <si>
    <t>SINALIZACAO HORIZONTAL ESPECIAL</t>
  </si>
  <si>
    <t>FORNECIMENTO E IMPLANTAÇÃO DE PLACA DE REGULAMENTAÇÃO EM AÇO R1=0,248M</t>
  </si>
  <si>
    <t>SUPORTE METÁLICO GALVANIZADO PARA PLACA DE REGULAMENTAÇÃO R1</t>
  </si>
  <si>
    <t>FORNECIMENTO E IMPLANTAÇÃO DE PLACA DE ADVERTÊNCIA EM AÇO L=0,50M</t>
  </si>
  <si>
    <t>SUPORTE METÁLICO GALVANIZADO PARA PLACA DE ADVERTÊNCIA</t>
  </si>
  <si>
    <t xml:space="preserve">SUPORTE METÁLICO GALVANIZADO PARA PLACA DE REGULAMENTAÇÃO </t>
  </si>
  <si>
    <t>FORNECIMENTO E IMPLANTAÇÃO DE PLACA DE REGULAMENTAÇÃO EM AÇO</t>
  </si>
  <si>
    <t>ESCAVAÇÃO DE GREIDE</t>
  </si>
  <si>
    <t>2.1.1</t>
  </si>
  <si>
    <t>2.1.2</t>
  </si>
  <si>
    <t>2.1.3</t>
  </si>
  <si>
    <t>2.1.4</t>
  </si>
  <si>
    <t>REMOÇÃO DE SOLOS INADEQUADOS/REFORÇO DO SUBLEITO</t>
  </si>
  <si>
    <t>2.2.1</t>
  </si>
  <si>
    <t>2.2.2</t>
  </si>
  <si>
    <t>2.2.3</t>
  </si>
  <si>
    <t>2.2.4</t>
  </si>
  <si>
    <t>2.2.5</t>
  </si>
  <si>
    <t>ATERRO DE GREIDE</t>
  </si>
  <si>
    <t>TRANSPORTE COM CAMINHÃO BASCULANTE (DISTANCIA INDICADA NA COLUNA "DMT")</t>
  </si>
  <si>
    <t>2.3.1</t>
  </si>
  <si>
    <t>2.3.2</t>
  </si>
  <si>
    <t>DAER 05/2019</t>
  </si>
  <si>
    <t>-</t>
  </si>
  <si>
    <t>Conforme Composição</t>
  </si>
  <si>
    <t>Planilha de Volumes</t>
  </si>
  <si>
    <t>Conforme Planta de Sinalização</t>
  </si>
  <si>
    <t>Conforme cronograma físico-financeiro</t>
  </si>
  <si>
    <t>TRANSPORTE DO CBUQ</t>
  </si>
  <si>
    <t>TRANSPORTE DE MATERIAL ASFALTICO, COM CAMINHÃO COM CAPACIDADE DE 20.000 L</t>
  </si>
  <si>
    <t>Tonxkm</t>
  </si>
  <si>
    <t>SINALIZAÇÃO VERTICAL</t>
  </si>
  <si>
    <t>SINALIZAÇÃO HORIZONTAL</t>
  </si>
  <si>
    <t xml:space="preserve">1. SINAIS DE REGULAMENTAÇÃO </t>
  </si>
  <si>
    <t xml:space="preserve">SINAL </t>
  </si>
  <si>
    <t>CÓDIGO</t>
  </si>
  <si>
    <t>SERVIÇOS</t>
  </si>
  <si>
    <t>SUPORTES</t>
  </si>
  <si>
    <t>PLACAS</t>
  </si>
  <si>
    <t>DIÂMETRO (cm)</t>
  </si>
  <si>
    <t>LADO 1 (cm)</t>
  </si>
  <si>
    <t>LADO 2 (cm)</t>
  </si>
  <si>
    <t>ÁREA (m²)</t>
  </si>
  <si>
    <t>R-1</t>
  </si>
  <si>
    <t>Parada obrigatória</t>
  </si>
  <si>
    <t>Quantidade:</t>
  </si>
  <si>
    <t>Largura (m):</t>
  </si>
  <si>
    <t>Total (m²):</t>
  </si>
  <si>
    <t>R-2</t>
  </si>
  <si>
    <t>Dê a preferência</t>
  </si>
  <si>
    <t>Eixo</t>
  </si>
  <si>
    <t>R-3</t>
  </si>
  <si>
    <t>Sentido proibido</t>
  </si>
  <si>
    <t>Bordo</t>
  </si>
  <si>
    <t>R-4a</t>
  </si>
  <si>
    <t>Proibido virar a esquerda</t>
  </si>
  <si>
    <t>TACHAS:</t>
  </si>
  <si>
    <t>R-4b</t>
  </si>
  <si>
    <t>Proibido virar a direita</t>
  </si>
  <si>
    <t>Cadencia:</t>
  </si>
  <si>
    <t>Total:</t>
  </si>
  <si>
    <t>R-7</t>
  </si>
  <si>
    <t>Proibido Ultrapassar</t>
  </si>
  <si>
    <t>R-19</t>
  </si>
  <si>
    <t>Velocidade máxima permitida (40km/h)</t>
  </si>
  <si>
    <t>2. SINAIS DE ADVERTÊNCIA</t>
  </si>
  <si>
    <t>A-1a</t>
  </si>
  <si>
    <t xml:space="preserve">Curva acentuada a esquerda </t>
  </si>
  <si>
    <t>A-1b</t>
  </si>
  <si>
    <t>Curva acentuada a direita</t>
  </si>
  <si>
    <t>A-2a</t>
  </si>
  <si>
    <t xml:space="preserve">Curva a esquerda </t>
  </si>
  <si>
    <t>A-2b</t>
  </si>
  <si>
    <t>Curva a direita</t>
  </si>
  <si>
    <t>A-3a</t>
  </si>
  <si>
    <t>Pista sinuosa à esquerda</t>
  </si>
  <si>
    <t>A-3b</t>
  </si>
  <si>
    <t>Pista sinuosa à direita</t>
  </si>
  <si>
    <t>A-4a</t>
  </si>
  <si>
    <t xml:space="preserve">Curva acentuada em "S" à esquerda </t>
  </si>
  <si>
    <t>A-4b</t>
  </si>
  <si>
    <t>Curva acentuada em "S" à direita</t>
  </si>
  <si>
    <t>A-5a</t>
  </si>
  <si>
    <t>Curva em "S" à esquerda</t>
  </si>
  <si>
    <t>A-5b</t>
  </si>
  <si>
    <t>Curva em "S" à direita</t>
  </si>
  <si>
    <t>A-18</t>
  </si>
  <si>
    <t>Saliência ou Lombada</t>
  </si>
  <si>
    <t>A-19</t>
  </si>
  <si>
    <t xml:space="preserve">Depessão  </t>
  </si>
  <si>
    <t>A-6</t>
  </si>
  <si>
    <t>Cruzamento de vias</t>
  </si>
  <si>
    <t>A-32a</t>
  </si>
  <si>
    <t>Trânsito de pedestres</t>
  </si>
  <si>
    <t>A-32b</t>
  </si>
  <si>
    <t>Passagem sinalizada de pedestres</t>
  </si>
  <si>
    <t>A-7a</t>
  </si>
  <si>
    <t>Via lateral a esquerda</t>
  </si>
  <si>
    <t>A-7b</t>
  </si>
  <si>
    <t>Via lateral a direita</t>
  </si>
  <si>
    <t>3.OUTRAS</t>
  </si>
  <si>
    <t>Delineadores de pontilhão</t>
  </si>
  <si>
    <t xml:space="preserve">Placa de Indicação </t>
  </si>
  <si>
    <t>I-23</t>
  </si>
  <si>
    <t>Ponto de Parada</t>
  </si>
  <si>
    <t>Lombada</t>
  </si>
  <si>
    <t>Placa Logradouro (RUA)</t>
  </si>
  <si>
    <t>Suportes (und.)</t>
  </si>
  <si>
    <t>Placas (m²)</t>
  </si>
  <si>
    <t>De acordo com o Acórdão 2622/2013-TCU.</t>
  </si>
  <si>
    <t>COMPOSIÇÃO</t>
  </si>
  <si>
    <t>BDI DIFERENCIADO PARA INSUMOS =</t>
  </si>
  <si>
    <t>ESCAVAÇÃO VERTICAL A CÉU ABERTO, INCLUINDO CARGA, DESCARGA E TRANSPORTE, EM SOLO DE 1ª CATEGORIA COM ESCAVADEIRA HIDRÁULICA</t>
  </si>
  <si>
    <t>Transp.equip.pesado (EM CAMINHÃO-PRANCHA) - trator esteiras e retroescavadeira</t>
  </si>
  <si>
    <t>Transp.equip.pesado (EM CAMINHÃO-PRANCHA) - rolo pneumático e rolo liso para asfalto</t>
  </si>
  <si>
    <t>Transp.equip.pesado (EM CAMINHÃO-PRANCHA) - rolo corrugado e rolo liso para terraplenagem</t>
  </si>
  <si>
    <t>Desloc. Equip. médio porte - 2 caminhões basculantes 6m³</t>
  </si>
  <si>
    <t>Topógrafo</t>
  </si>
  <si>
    <t>Auxiliar de Topografia</t>
  </si>
  <si>
    <t>Camionete pick-up (IMPRODUTIVO)</t>
  </si>
  <si>
    <t>Total (m)</t>
  </si>
  <si>
    <t>Qtd.</t>
  </si>
  <si>
    <t>Área (m²)</t>
  </si>
  <si>
    <t>Tipo</t>
  </si>
  <si>
    <t>PLACA DE OBRA (1,20m x 2,40m)</t>
  </si>
  <si>
    <t>QUANTITATIVO DE VOLUMES</t>
  </si>
  <si>
    <t>Semi-Dist. (m)</t>
  </si>
  <si>
    <t>Corte 2ª cat.</t>
  </si>
  <si>
    <t>Vol. (m³)</t>
  </si>
  <si>
    <t>Corte total (m³)</t>
  </si>
  <si>
    <t>Corte 3ª cat. (m³)</t>
  </si>
  <si>
    <t>Corte 2ª cat. (m³)</t>
  </si>
  <si>
    <t>Corte 1ª cat. (m³)</t>
  </si>
  <si>
    <t>Aterro (m³)</t>
  </si>
  <si>
    <t>CP3</t>
  </si>
  <si>
    <t>2.1.5</t>
  </si>
  <si>
    <t>CP3 - ESC. MECANICA PARA ACERTO DE TALUDES, EM MATERIAL DE 2A CAT. C/ ESCAVADEIRA HIDRAULICA</t>
  </si>
  <si>
    <t>ESCAVADEIRA HIDRÁULICA SOBRE ESTEIRAS, CAÇAMBA 0,80 M3</t>
  </si>
  <si>
    <t>CAMINHÃO BASCULANTE 14 M3, COM CAVALO MECÂNICO DE CAPACIDADE MÁXIMA DE TRAÇÃO COMBINADO</t>
  </si>
  <si>
    <t>Técnico em Segurança (0,50 hora por dia útil)</t>
  </si>
  <si>
    <t>Encarregado Geral (2,0 hora por dia útil)</t>
  </si>
  <si>
    <t>Largura: 1,20m x Altura: 2,40m (Padrão)</t>
  </si>
  <si>
    <t>Conforme memória de cálculo de drenagem</t>
  </si>
  <si>
    <t>BOCA PARA BUEIRO SIMPLES TUBULAR, DIAMETRO = 0,80M</t>
  </si>
  <si>
    <r>
      <t>PREFEITURA MUNICIPAL DE</t>
    </r>
    <r>
      <rPr>
        <b/>
        <sz val="16"/>
        <color indexed="10"/>
        <rFont val="Arial Narrow"/>
        <family val="2"/>
      </rPr>
      <t xml:space="preserve"> FONTOURA XAVIER</t>
    </r>
  </si>
  <si>
    <t>3º</t>
  </si>
  <si>
    <t>E9526</t>
  </si>
  <si>
    <t>RETROSESCAVADEIRA (PRODUTIVO)</t>
  </si>
  <si>
    <t>RETROSESCAVADEIRA (IMPRODUTIVO)</t>
  </si>
  <si>
    <t>OPERADOR DE RETROESCAVADEIRA</t>
  </si>
  <si>
    <t>BLOCO CONCRETO ESTRUTURAL 19 X 19 X 39 CM, FBK 4,5 MPA</t>
  </si>
  <si>
    <t>ARGAMASSA TRAÇO 1:4 (CIMENTO E AREIA MÉDIA) - PREPARO MANUAL</t>
  </si>
  <si>
    <t>CONCRETO MAGRO PARA LASTRO, TRAÇO 1:4,5:4,5</t>
  </si>
  <si>
    <t>PEDRA BRITADA N. 1 (9,5 a 19 MM)</t>
  </si>
  <si>
    <t>MEIO FIO DE CONCRETO PRÉ MOLDADO VAZADO</t>
  </si>
  <si>
    <t>CONCRETO FCK = 15MPA, TRAÇO 1:3,4:3,5 - PREPARO MANUAL</t>
  </si>
  <si>
    <t>ACO CA-60, 5,0 MM, DOBRADO E CORTADO</t>
  </si>
  <si>
    <t>kg</t>
  </si>
  <si>
    <t>CONCRETO FCK = 20MPA PREPARO COM BETONEIRA</t>
  </si>
  <si>
    <t>SARRAFO DE MADEIRA NAO APARELHADA *2,5 X 7* CM</t>
  </si>
  <si>
    <t>CP4 - SUB-BASE RACHÃO ENCHIMENTO BRITA E CAMADA BLOQUEIO</t>
  </si>
  <si>
    <t>CP4</t>
  </si>
  <si>
    <t>CP5</t>
  </si>
  <si>
    <t>MEMÓRIA DE CÁLCULO DE DRENAGEM</t>
  </si>
  <si>
    <t>LADO</t>
  </si>
  <si>
    <t>CX. Mont.</t>
  </si>
  <si>
    <t>CX. Jus.</t>
  </si>
  <si>
    <t>DN</t>
  </si>
  <si>
    <t>Classe Simples</t>
  </si>
  <si>
    <t>Comp. (m)</t>
  </si>
  <si>
    <t>Classe Armado</t>
  </si>
  <si>
    <t>Largura de escavação (m)</t>
  </si>
  <si>
    <t>Área do Fundo da Vala (m²)</t>
  </si>
  <si>
    <t>Altura de escavação (m)</t>
  </si>
  <si>
    <t>Volume de escavação (m³)</t>
  </si>
  <si>
    <t>Altura média de reaterro (m)</t>
  </si>
  <si>
    <t>Largura de reaterro (m)</t>
  </si>
  <si>
    <t>Volume de reaterro (m³)</t>
  </si>
  <si>
    <t>Largura da camada de brita (m³)</t>
  </si>
  <si>
    <t>Espessura (m)</t>
  </si>
  <si>
    <t>Volume de brita para assent. do tubo(m³)</t>
  </si>
  <si>
    <t>( m )</t>
  </si>
  <si>
    <t>PS-1</t>
  </si>
  <si>
    <t>PA-2</t>
  </si>
  <si>
    <t>Total de tubos (m)</t>
  </si>
  <si>
    <t>Simples (m)</t>
  </si>
  <si>
    <t>Armado (m)</t>
  </si>
  <si>
    <t>Total volume de escavação (m³)</t>
  </si>
  <si>
    <t>Total volume de reaterro (m³)</t>
  </si>
  <si>
    <t>Total volume de brita (m³)</t>
  </si>
  <si>
    <t>Tubulação</t>
  </si>
  <si>
    <t>Drenagem Existente para Remoção</t>
  </si>
  <si>
    <t>Escavação</t>
  </si>
  <si>
    <t>Reaterro (m³)</t>
  </si>
  <si>
    <t>Transp. Bota-Fora (m³)</t>
  </si>
  <si>
    <t>Diâmetro (m)</t>
  </si>
  <si>
    <t>Classe</t>
  </si>
  <si>
    <t>Porcentagem (%)</t>
  </si>
  <si>
    <t>Volume (m³)</t>
  </si>
  <si>
    <t>Material 1ª cat.</t>
  </si>
  <si>
    <t>Material 2ª cat.</t>
  </si>
  <si>
    <t>Material 3ª cat.</t>
  </si>
  <si>
    <t>Drenagem para Execução</t>
  </si>
  <si>
    <t>Total de escavação (m³)</t>
  </si>
  <si>
    <t>Lastro de brita (m³)</t>
  </si>
  <si>
    <t>Espera Tubo ø400mm em Concreto</t>
  </si>
  <si>
    <t>DMT Brita (Km)</t>
  </si>
  <si>
    <t>DIREITO</t>
  </si>
  <si>
    <t>ESQUERDO</t>
  </si>
  <si>
    <t>PV ø400</t>
  </si>
  <si>
    <t xml:space="preserve">Tubo ø600mm em Concreto </t>
  </si>
  <si>
    <t>Caixa coletora tipo boca-de-lobo, parede de alvenaria - Med. 0,80m x 0,80m x 1,50m</t>
  </si>
  <si>
    <t>ALA ø600mm em Concreto</t>
  </si>
  <si>
    <t>4.14</t>
  </si>
  <si>
    <t>4.15</t>
  </si>
  <si>
    <t>Tubo de Concreto</t>
  </si>
  <si>
    <t>CAIXA COLETORA 0,80x0,80x1,50M INTERNA, ALVENARIA COM FUNDO E TAMPA DE CONCRETO</t>
  </si>
  <si>
    <t>PINTURA MECÂNIZADA:</t>
  </si>
  <si>
    <t>PINTURA ESPECIAL:</t>
  </si>
  <si>
    <t>Faixa de Pedestres</t>
  </si>
  <si>
    <t>Faixa de Retenção</t>
  </si>
  <si>
    <t>PREPARO DE FUNDO DE VALA COM BRITA</t>
  </si>
  <si>
    <t>TRANSPORTE DA BRITA</t>
  </si>
  <si>
    <t>OBS 3: o tempo de 3 horas por equipamento equivale ao tempo de ida (1:15h) e volta (1:15h) + tempo de carga e descarga do equipamento (0:30h)</t>
  </si>
  <si>
    <t>TRANSPORTE DE BRITA (DMT 75,50)</t>
  </si>
  <si>
    <t>TABUA MADEIRA 2,5 X 30CM NAO APARELHADA</t>
  </si>
  <si>
    <t>mês</t>
  </si>
  <si>
    <t>Transporte de brita (m³xkm)</t>
  </si>
  <si>
    <t>REMOÇÃO TUBOS D=0,40m</t>
  </si>
  <si>
    <t>Fontoura Xavier</t>
  </si>
  <si>
    <t>MEMÓRIA DE CÁLCULO</t>
  </si>
  <si>
    <t>,</t>
  </si>
  <si>
    <t>DATA:</t>
  </si>
  <si>
    <r>
      <t>Obra:</t>
    </r>
    <r>
      <rPr>
        <b/>
        <sz val="16"/>
        <color indexed="10"/>
        <rFont val="Arial Narrow"/>
        <family val="2"/>
      </rPr>
      <t xml:space="preserve"> Pavimentação Asfáltica da Avenida 25 de Abril</t>
    </r>
  </si>
  <si>
    <t>DESMONTE DE ROCHA COM MARTELETE PNEUMÁTICO</t>
  </si>
  <si>
    <t>Ala01</t>
  </si>
  <si>
    <t>Ala02</t>
  </si>
  <si>
    <t>ESCAVAÇÃO DE VALA EM MATERIAL DE 3ª CATEGORIA</t>
  </si>
  <si>
    <t>989,37m³ Volume de material removido x 1,30 Empolamento material de 1ª categoria + 132,52m³ Volume de material removido x 1,25 Empolamento material de 2ª categoria + 67,51m³ Volume de material removido x 1,50 Empolamento material de 3ª categoria</t>
  </si>
  <si>
    <t>989,37m³ Volume de material removido x 1,30 Empolamento material de 1ª categoria + 132,52m³ Volume de material removido x 1,25 Empolamento material de 2ª categoria + 67,51m³ Volume de material removido x 1,50 Empolamento material de 3ª categoria x 4,00Km DMT Bota-Fora</t>
  </si>
  <si>
    <t>235,00m Extensão do Trecho x 1,50m Largura de escavação x 0,30m Profundidade de escavação x 2 lados da pista</t>
  </si>
  <si>
    <t>211,50m³ Volume de escavação x 1,30 Empolamento material de 1ª categoria</t>
  </si>
  <si>
    <t>211,50m³ Volume de escavação x 1,30 Empolamento material de 1ª categoria x 4,00Km DMT Bota-fora</t>
  </si>
  <si>
    <t>235,00m Extensão do Trecho x 1,50m Largura de escavação x 0,30m Profundidade de escavação x 2 lados da pista x 75,50Km DMT Britagem</t>
  </si>
  <si>
    <t>807,02m³ Volume de aterro x 1,30 Empolamento material de 1ª categoria x 4,00Km DMT Jazida</t>
  </si>
  <si>
    <t>235,00m Extensão do trecho x 11,08m Largura média de rachão x 0,15m Espessura de rachão + 9,00m Extensão da boca de rua x 11,08m Largura média de rachão x 0,15m Espessura de rachão</t>
  </si>
  <si>
    <t>235,00m Extensão do trecho x 1,50m Largura de limpeza x 2 Lados da pista + 9,00m Extensão da boca de rua x 1,50m Largura de limpeza x 2 Lados da pista</t>
  </si>
  <si>
    <t>235,00m Extensão do trecho x 11,30m Largura de regularização + 9,00m Extensão da boca de rua x 11,30m Largura de regularização</t>
  </si>
  <si>
    <t>235,00m Extensão do trecho x 10,63m Largura média de base de brita graduada x 0,15m Espessura de base de brita graduada + 9,00m Extensão da boca de rua x 10,63m Largura média de base de brita graduada x 0,15m Espessura de base de brita graduada</t>
  </si>
  <si>
    <t>405,53m³ Volume de Rachão + 389,06m³ Volume de Base de brita graduada x 75,50Km DMT Britagem</t>
  </si>
  <si>
    <t>235,00m Extensão do trecho x 10,40m Largura de imprimação + 9,00m Extensão da boca de rua x 10,40m Largura de imprimação</t>
  </si>
  <si>
    <t>2.440m² Área total de pavimentação</t>
  </si>
  <si>
    <t>(2.537,60m² Imprimação x 1,20L/m² Taxa de aplicação / 1000) + (2.440,00m² Pintura de ligação x 0,60L/m² Taxa de aplicação / 1000) + 122,00m³ CBUQ x 2,50T/m³ Densidade do CBUQ x 6% Teor de CAP x 95,00Km DMT Refinaria</t>
  </si>
  <si>
    <t>235,00m Extensão do trecho x 10,00m Largura de pavimentação x 0,05m Espessura do CBUQ + 9,00m Extensão da boca de rua x 10,00m Largura de pavimentação x 0,05m Espessura do CBUQ</t>
  </si>
  <si>
    <t>122,00m³ Volume de CBUQ x 75,50Km DMT Usina</t>
  </si>
  <si>
    <t>ESC. MECANICA PARA ACERTO DE TALUDES, EM MATERIAL DE 2ª CAT. C/ ESCAVADEIRA HIDRAULICA</t>
  </si>
  <si>
    <t>ESCAVAÇÃO MECANIZADA DE VALA 1ª CATEGORIA</t>
  </si>
  <si>
    <t>235,00m Extensão do trecho x 0,12m Largura de pintura da faixa do eixo da pista</t>
  </si>
  <si>
    <t xml:space="preserve">3 Faixa de pedestre x 4,00m Largura da faixa x 10,00m Comprimento da faixa x 0,40 (40% de pintura da área 40cm pintura - 60cm espaçamento) + 3 Faixa de retenção x 0,40m Largura da listra x 5,00 m Comprimento da faixa em cada sentido </t>
  </si>
  <si>
    <t>PREFEITURA MUNICIPAL DE FONTOURA XAVIER</t>
  </si>
  <si>
    <t>Obra: Pavimentação Asfáltica da Avenida 25 de Abril</t>
  </si>
  <si>
    <t>Augusto Ross</t>
  </si>
  <si>
    <t>RS236486</t>
  </si>
  <si>
    <t>5.3</t>
  </si>
  <si>
    <t>5.4</t>
  </si>
  <si>
    <t>5.5</t>
  </si>
  <si>
    <t>5.6</t>
  </si>
  <si>
    <t>5.7</t>
  </si>
  <si>
    <t>5.8</t>
  </si>
  <si>
    <t>Luiz Armando Taffarel</t>
  </si>
  <si>
    <t>209.484.410-20</t>
  </si>
  <si>
    <t xml:space="preserve"> Augusto Ross - Responsável Técnico</t>
  </si>
  <si>
    <t>CREA nº RS236486</t>
  </si>
  <si>
    <t>Luiz Armando Taffarel - Prefeito</t>
  </si>
  <si>
    <t>CPF nº 209.484.410-20</t>
  </si>
  <si>
    <t>SICRO 04/2022</t>
  </si>
  <si>
    <t>SINAPI 06/2022</t>
  </si>
  <si>
    <t>(USINAGEM DE CBUQ) CONCRETO BETUMINOSO USINADO A QUENTE(CBUQ),CAP 50/70, EXCLUSIVE TRANSPORTE) - E= 5cm</t>
  </si>
  <si>
    <t>Junho de 2022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</si>
</sst>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[Red]\(&quot;R$&quot;#,##0\)"/>
    <numFmt numFmtId="173" formatCode="&quot;R$&quot;#,##0.00_);[Red]\(&quot;R$&quot;#,##0.00\)"/>
    <numFmt numFmtId="174" formatCode="dd/mm/yy"/>
    <numFmt numFmtId="175" formatCode="#,##0.000"/>
    <numFmt numFmtId="176" formatCode="#,##0.00\ &quot;m²&quot;"/>
    <numFmt numFmtId="177" formatCode="dd/mm/yy;@"/>
    <numFmt numFmtId="178" formatCode="&quot;Extensão:&quot;\ #,##0.00\ &quot;m&quot;"/>
    <numFmt numFmtId="179" formatCode="&quot;Largura:&quot;\ #,##0.00\ &quot;m&quot;"/>
    <numFmt numFmtId="180" formatCode="&quot;Áreas agregadas:&quot;\ #,##0.00\ &quot;m&quot;"/>
    <numFmt numFmtId="181" formatCode="#,##0.0000"/>
    <numFmt numFmtId="182" formatCode="#,##0.00000"/>
    <numFmt numFmtId="183" formatCode="0\+000.00"/>
    <numFmt numFmtId="184" formatCode="0\+000"/>
    <numFmt numFmtId="185" formatCode="&quot;EXTENSÃO:&quot;\ #,##0.00\ &quot;m&quot;"/>
    <numFmt numFmtId="186" formatCode="0.0%"/>
    <numFmt numFmtId="187" formatCode="0.0"/>
    <numFmt numFmtId="188" formatCode="0.000"/>
    <numFmt numFmtId="189" formatCode="&quot;DMT:&quot;\ #,##0.00\ &quot;Km&quot;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0.000%"/>
    <numFmt numFmtId="194" formatCode="0.0000%"/>
    <numFmt numFmtId="195" formatCode="&quot;Área:&quot;\ #,##0.00\ &quot;m²&quot;"/>
    <numFmt numFmtId="196" formatCode="#,##0.0000000"/>
    <numFmt numFmtId="197" formatCode="&quot;Reentrâncias:&quot;\ #,##0.00\ &quot;m²&quot;"/>
    <numFmt numFmtId="198" formatCode="0.0000"/>
    <numFmt numFmtId="199" formatCode="0.00\ &quot;%&quot;"/>
    <numFmt numFmtId="200" formatCode="[$-416]dddd\,\ d&quot; de &quot;mmmm&quot; de &quot;yyyy"/>
    <numFmt numFmtId="201" formatCode="_-&quot;R$&quot;* #,##0.00_-;\-&quot;R$&quot;* #,##0.00_-;_-&quot;R$&quot;* &quot;-&quot;??_-;_-@_-"/>
    <numFmt numFmtId="202" formatCode="0\+000.000"/>
    <numFmt numFmtId="203" formatCode="0.0\+000"/>
    <numFmt numFmtId="204" formatCode="0.00\+000"/>
    <numFmt numFmtId="205" formatCode="0.\+000"/>
    <numFmt numFmtId="206" formatCode=".\+;00000000000000000000000000000000000000000000000000000000000000000000000000000000000000000000000000000000000000000000000000000000000000000000000000000000000000000000000000000000000000000000000000000000000000000000000000000000000000000000000000000000000"/>
    <numFmt numFmtId="207" formatCode="\-"/>
    <numFmt numFmtId="208" formatCode="\P\V\-#"/>
    <numFmt numFmtId="209" formatCode="&quot;Extensão:&quot;\ ###0\ &quot;m&quot;"/>
    <numFmt numFmtId="210" formatCode="#,##0.000000"/>
    <numFmt numFmtId="211" formatCode="_([$€]* #,##0.00_);_([$€]* \(#,##0.00\);_([$€]* &quot;-&quot;??_);_(@_)"/>
    <numFmt numFmtId="212" formatCode="&quot;R$&quot;\ #,##0.00"/>
    <numFmt numFmtId="213" formatCode="\C\x00"/>
    <numFmt numFmtId="214" formatCode="0_)"/>
    <numFmt numFmtId="215" formatCode="_-* #,##0.000_-;\-* #,##0.000_-;_-* &quot;-&quot;??_-;_-@_-"/>
    <numFmt numFmtId="216" formatCode="_-* #,##0.0000_-;\-* #,##0.0000_-;_-* &quot;-&quot;??_-;_-@_-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#,##0.0"/>
    <numFmt numFmtId="221" formatCode="_-* #,##0.0000_-;\-* #,##0.0000_-;_-* &quot;-&quot;????_-;_-@_-"/>
    <numFmt numFmtId="222" formatCode="0.00000"/>
    <numFmt numFmtId="223" formatCode="0.000000"/>
    <numFmt numFmtId="224" formatCode="0.0000000"/>
    <numFmt numFmtId="225" formatCode="&quot;Área:&quot;\ #,##0.00\ &quot;m&quot;"/>
    <numFmt numFmtId="226" formatCode="&quot;Bocas de Rua:&quot;\ #,##0.00\ &quot;und&quot;"/>
  </numFmts>
  <fonts count="1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6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color indexed="10"/>
      <name val="Arial Narrow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Courier"/>
      <family val="3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 Narrow"/>
      <family val="2"/>
    </font>
    <font>
      <b/>
      <sz val="18"/>
      <name val="Arial Narrow"/>
      <family val="2"/>
    </font>
    <font>
      <sz val="11.5"/>
      <name val="Arial Narrow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12"/>
      <color indexed="9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4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color rgb="FFFF0000"/>
      <name val="Arial Narrow"/>
      <family val="2"/>
    </font>
    <font>
      <sz val="10"/>
      <color rgb="FFFF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0"/>
      <color rgb="FFFF0000"/>
      <name val="Arial Narrow"/>
      <family val="2"/>
    </font>
    <font>
      <b/>
      <sz val="13"/>
      <color theme="1"/>
      <name val="Arial Narrow"/>
      <family val="2"/>
    </font>
    <font>
      <b/>
      <sz val="16"/>
      <color theme="1"/>
      <name val="Arial Narrow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167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>
      <alignment/>
      <protection/>
    </xf>
    <xf numFmtId="43" fontId="26" fillId="0" borderId="0">
      <alignment/>
      <protection/>
    </xf>
    <xf numFmtId="43" fontId="26" fillId="0" borderId="0">
      <alignment/>
      <protection/>
    </xf>
    <xf numFmtId="0" fontId="85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85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5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5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85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5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5" fillId="13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5" fillId="1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85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85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85" fillId="19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85" fillId="20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86" fillId="21" borderId="0" applyNumberFormat="0" applyBorder="0" applyAlignment="0" applyProtection="0"/>
    <xf numFmtId="0" fontId="41" fillId="11" borderId="0" applyNumberFormat="0" applyBorder="0" applyAlignment="0" applyProtection="0"/>
    <xf numFmtId="0" fontId="86" fillId="22" borderId="0" applyNumberFormat="0" applyBorder="0" applyAlignment="0" applyProtection="0"/>
    <xf numFmtId="0" fontId="41" fillId="23" borderId="0" applyNumberFormat="0" applyBorder="0" applyAlignment="0" applyProtection="0"/>
    <xf numFmtId="0" fontId="86" fillId="24" borderId="0" applyNumberFormat="0" applyBorder="0" applyAlignment="0" applyProtection="0"/>
    <xf numFmtId="0" fontId="41" fillId="25" borderId="0" applyNumberFormat="0" applyBorder="0" applyAlignment="0" applyProtection="0"/>
    <xf numFmtId="0" fontId="86" fillId="26" borderId="0" applyNumberFormat="0" applyBorder="0" applyAlignment="0" applyProtection="0"/>
    <xf numFmtId="0" fontId="41" fillId="18" borderId="0" applyNumberFormat="0" applyBorder="0" applyAlignment="0" applyProtection="0"/>
    <xf numFmtId="0" fontId="86" fillId="27" borderId="0" applyNumberFormat="0" applyBorder="0" applyAlignment="0" applyProtection="0"/>
    <xf numFmtId="0" fontId="41" fillId="11" borderId="0" applyNumberFormat="0" applyBorder="0" applyAlignment="0" applyProtection="0"/>
    <xf numFmtId="0" fontId="86" fillId="28" borderId="0" applyNumberFormat="0" applyBorder="0" applyAlignment="0" applyProtection="0"/>
    <xf numFmtId="0" fontId="41" fillId="5" borderId="0" applyNumberFormat="0" applyBorder="0" applyAlignment="0" applyProtection="0"/>
    <xf numFmtId="0" fontId="87" fillId="29" borderId="0" applyNumberFormat="0" applyBorder="0" applyAlignment="0" applyProtection="0"/>
    <xf numFmtId="0" fontId="42" fillId="11" borderId="0" applyNumberFormat="0" applyBorder="0" applyAlignment="0" applyProtection="0"/>
    <xf numFmtId="0" fontId="88" fillId="30" borderId="1" applyNumberFormat="0" applyAlignment="0" applyProtection="0"/>
    <xf numFmtId="0" fontId="52" fillId="31" borderId="2" applyNumberFormat="0" applyAlignment="0" applyProtection="0"/>
    <xf numFmtId="0" fontId="89" fillId="32" borderId="3" applyNumberFormat="0" applyAlignment="0" applyProtection="0"/>
    <xf numFmtId="0" fontId="43" fillId="33" borderId="4" applyNumberFormat="0" applyAlignment="0" applyProtection="0"/>
    <xf numFmtId="0" fontId="90" fillId="0" borderId="5" applyNumberFormat="0" applyFill="0" applyAlignment="0" applyProtection="0"/>
    <xf numFmtId="0" fontId="47" fillId="0" borderId="6" applyNumberFormat="0" applyFill="0" applyAlignment="0" applyProtection="0"/>
    <xf numFmtId="0" fontId="86" fillId="34" borderId="0" applyNumberFormat="0" applyBorder="0" applyAlignment="0" applyProtection="0"/>
    <xf numFmtId="0" fontId="41" fillId="35" borderId="0" applyNumberFormat="0" applyBorder="0" applyAlignment="0" applyProtection="0"/>
    <xf numFmtId="0" fontId="86" fillId="36" borderId="0" applyNumberFormat="0" applyBorder="0" applyAlignment="0" applyProtection="0"/>
    <xf numFmtId="0" fontId="41" fillId="23" borderId="0" applyNumberFormat="0" applyBorder="0" applyAlignment="0" applyProtection="0"/>
    <xf numFmtId="0" fontId="86" fillId="37" borderId="0" applyNumberFormat="0" applyBorder="0" applyAlignment="0" applyProtection="0"/>
    <xf numFmtId="0" fontId="41" fillId="25" borderId="0" applyNumberFormat="0" applyBorder="0" applyAlignment="0" applyProtection="0"/>
    <xf numFmtId="0" fontId="86" fillId="38" borderId="0" applyNumberFormat="0" applyBorder="0" applyAlignment="0" applyProtection="0"/>
    <xf numFmtId="0" fontId="41" fillId="39" borderId="0" applyNumberFormat="0" applyBorder="0" applyAlignment="0" applyProtection="0"/>
    <xf numFmtId="0" fontId="86" fillId="40" borderId="0" applyNumberFormat="0" applyBorder="0" applyAlignment="0" applyProtection="0"/>
    <xf numFmtId="0" fontId="41" fillId="41" borderId="0" applyNumberFormat="0" applyBorder="0" applyAlignment="0" applyProtection="0"/>
    <xf numFmtId="0" fontId="86" fillId="42" borderId="0" applyNumberFormat="0" applyBorder="0" applyAlignment="0" applyProtection="0"/>
    <xf numFmtId="0" fontId="41" fillId="43" borderId="0" applyNumberFormat="0" applyBorder="0" applyAlignment="0" applyProtection="0"/>
    <xf numFmtId="0" fontId="91" fillId="44" borderId="1" applyNumberFormat="0" applyAlignment="0" applyProtection="0"/>
    <xf numFmtId="0" fontId="44" fillId="16" borderId="2" applyNumberFormat="0" applyAlignment="0" applyProtection="0"/>
    <xf numFmtId="211" fontId="5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51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201" fontId="85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3" fillId="16" borderId="0" applyNumberFormat="0" applyBorder="0" applyAlignment="0" applyProtection="0"/>
    <xf numFmtId="0" fontId="92" fillId="4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>
      <alignment/>
      <protection/>
    </xf>
    <xf numFmtId="4" fontId="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7" borderId="7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93" fillId="48" borderId="0" applyNumberFormat="0" applyBorder="0" applyAlignment="0" applyProtection="0"/>
    <xf numFmtId="0" fontId="94" fillId="30" borderId="9" applyNumberFormat="0" applyAlignment="0" applyProtection="0"/>
    <xf numFmtId="0" fontId="46" fillId="31" borderId="10" applyNumberForma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9" fillId="0" borderId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11" applyNumberFormat="0" applyFill="0" applyAlignment="0" applyProtection="0"/>
    <xf numFmtId="0" fontId="54" fillId="0" borderId="12" applyNumberFormat="0" applyFill="0" applyAlignment="0" applyProtection="0"/>
    <xf numFmtId="0" fontId="99" fillId="0" borderId="13" applyNumberFormat="0" applyFill="0" applyAlignment="0" applyProtection="0"/>
    <xf numFmtId="0" fontId="55" fillId="0" borderId="14" applyNumberFormat="0" applyFill="0" applyAlignment="0" applyProtection="0"/>
    <xf numFmtId="0" fontId="100" fillId="0" borderId="15" applyNumberFormat="0" applyFill="0" applyAlignment="0" applyProtection="0"/>
    <xf numFmtId="0" fontId="56" fillId="0" borderId="16" applyNumberFormat="0" applyFill="0" applyAlignment="0" applyProtection="0"/>
    <xf numFmtId="0" fontId="10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1" fillId="0" borderId="17" applyNumberFormat="0" applyFill="0" applyAlignment="0" applyProtection="0"/>
    <xf numFmtId="0" fontId="49" fillId="0" borderId="18" applyNumberFormat="0" applyFill="0" applyAlignment="0" applyProtection="0"/>
    <xf numFmtId="40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797">
    <xf numFmtId="0" fontId="0" fillId="0" borderId="0" xfId="0" applyAlignment="1">
      <alignment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7" fillId="0" borderId="0" xfId="16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" fontId="7" fillId="0" borderId="0" xfId="16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4" fontId="8" fillId="0" borderId="0" xfId="161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122" applyFont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71" fontId="102" fillId="0" borderId="0" xfId="161" applyNumberFormat="1" applyFont="1" applyAlignment="1">
      <alignment/>
    </xf>
    <xf numFmtId="0" fontId="8" fillId="0" borderId="19" xfId="0" applyFont="1" applyBorder="1" applyAlignment="1">
      <alignment/>
    </xf>
    <xf numFmtId="171" fontId="8" fillId="0" borderId="0" xfId="161" applyNumberFormat="1" applyFont="1" applyAlignment="1">
      <alignment/>
    </xf>
    <xf numFmtId="0" fontId="8" fillId="0" borderId="0" xfId="0" applyFont="1" applyAlignment="1">
      <alignment/>
    </xf>
    <xf numFmtId="171" fontId="8" fillId="0" borderId="19" xfId="161" applyNumberFormat="1" applyFont="1" applyBorder="1" applyAlignment="1">
      <alignment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" fontId="7" fillId="0" borderId="20" xfId="16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4" fontId="8" fillId="0" borderId="22" xfId="161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10" fontId="7" fillId="0" borderId="0" xfId="125" applyNumberFormat="1" applyFont="1" applyFill="1" applyBorder="1" applyAlignment="1">
      <alignment vertical="center"/>
    </xf>
    <xf numFmtId="4" fontId="8" fillId="0" borderId="19" xfId="161" applyNumberFormat="1" applyFont="1" applyFill="1" applyBorder="1" applyAlignment="1">
      <alignment horizontal="center" vertical="center"/>
    </xf>
    <xf numFmtId="4" fontId="8" fillId="0" borderId="0" xfId="161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161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" fontId="8" fillId="0" borderId="0" xfId="161" applyNumberFormat="1" applyFont="1" applyFill="1" applyBorder="1" applyAlignment="1">
      <alignment vertical="center"/>
    </xf>
    <xf numFmtId="0" fontId="12" fillId="0" borderId="19" xfId="122" applyFont="1" applyBorder="1" applyAlignment="1">
      <alignment horizontal="center" vertical="center"/>
      <protection/>
    </xf>
    <xf numFmtId="4" fontId="12" fillId="0" borderId="19" xfId="122" applyNumberFormat="1" applyFont="1" applyBorder="1" applyAlignment="1">
      <alignment horizontal="right" vertical="center"/>
      <protection/>
    </xf>
    <xf numFmtId="4" fontId="12" fillId="0" borderId="19" xfId="122" applyNumberFormat="1" applyFont="1" applyBorder="1" applyAlignment="1">
      <alignment horizontal="center" vertical="center"/>
      <protection/>
    </xf>
    <xf numFmtId="0" fontId="13" fillId="0" borderId="19" xfId="122" applyFont="1" applyBorder="1" applyAlignment="1">
      <alignment horizontal="center" vertical="center"/>
      <protection/>
    </xf>
    <xf numFmtId="0" fontId="14" fillId="0" borderId="19" xfId="122" applyFont="1" applyBorder="1" applyAlignment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 wrapText="1"/>
    </xf>
    <xf numFmtId="4" fontId="14" fillId="0" borderId="19" xfId="122" applyNumberFormat="1" applyFont="1" applyFill="1" applyBorder="1" applyAlignment="1">
      <alignment horizontal="right" vertical="center"/>
      <protection/>
    </xf>
    <xf numFmtId="4" fontId="14" fillId="0" borderId="19" xfId="122" applyNumberFormat="1" applyFont="1" applyBorder="1" applyAlignment="1">
      <alignment horizontal="right" vertical="center"/>
      <protection/>
    </xf>
    <xf numFmtId="0" fontId="14" fillId="0" borderId="0" xfId="122" applyFont="1" applyAlignment="1">
      <alignment vertical="center"/>
      <protection/>
    </xf>
    <xf numFmtId="4" fontId="14" fillId="0" borderId="19" xfId="122" applyNumberFormat="1" applyFont="1" applyBorder="1" applyAlignment="1">
      <alignment horizontal="center" vertical="center"/>
      <protection/>
    </xf>
    <xf numFmtId="10" fontId="14" fillId="0" borderId="19" xfId="125" applyNumberFormat="1" applyFont="1" applyBorder="1" applyAlignment="1">
      <alignment horizontal="center" vertical="center"/>
    </xf>
    <xf numFmtId="10" fontId="14" fillId="0" borderId="19" xfId="122" applyNumberFormat="1" applyFont="1" applyFill="1" applyBorder="1" applyAlignment="1">
      <alignment horizontal="right" vertical="center"/>
      <protection/>
    </xf>
    <xf numFmtId="10" fontId="14" fillId="0" borderId="19" xfId="122" applyNumberFormat="1" applyFont="1" applyBorder="1" applyAlignment="1">
      <alignment horizontal="right" vertical="center"/>
      <protection/>
    </xf>
    <xf numFmtId="10" fontId="14" fillId="0" borderId="0" xfId="125" applyNumberFormat="1" applyFont="1" applyAlignment="1">
      <alignment vertical="center"/>
    </xf>
    <xf numFmtId="0" fontId="14" fillId="0" borderId="19" xfId="122" applyFont="1" applyBorder="1" applyAlignment="1">
      <alignment horizontal="right" vertical="center"/>
      <protection/>
    </xf>
    <xf numFmtId="10" fontId="17" fillId="31" borderId="19" xfId="122" applyNumberFormat="1" applyFont="1" applyFill="1" applyBorder="1" applyAlignment="1">
      <alignment horizontal="right" vertical="center"/>
      <protection/>
    </xf>
    <xf numFmtId="4" fontId="14" fillId="31" borderId="19" xfId="122" applyNumberFormat="1" applyFont="1" applyFill="1" applyBorder="1" applyAlignment="1">
      <alignment horizontal="right" vertical="center"/>
      <protection/>
    </xf>
    <xf numFmtId="0" fontId="11" fillId="0" borderId="19" xfId="122" applyFont="1" applyBorder="1" applyAlignment="1">
      <alignment horizontal="center" vertical="center"/>
      <protection/>
    </xf>
    <xf numFmtId="4" fontId="11" fillId="0" borderId="19" xfId="122" applyNumberFormat="1" applyFont="1" applyBorder="1" applyAlignment="1">
      <alignment horizontal="right" vertical="center"/>
      <protection/>
    </xf>
    <xf numFmtId="0" fontId="11" fillId="0" borderId="0" xfId="122" applyFont="1" applyAlignment="1">
      <alignment vertical="center"/>
      <protection/>
    </xf>
    <xf numFmtId="0" fontId="11" fillId="0" borderId="0" xfId="122" applyFont="1" applyAlignment="1">
      <alignment horizontal="center" vertical="center"/>
      <protection/>
    </xf>
    <xf numFmtId="175" fontId="11" fillId="0" borderId="0" xfId="122" applyNumberFormat="1" applyFont="1" applyAlignment="1">
      <alignment horizontal="right" vertical="center"/>
      <protection/>
    </xf>
    <xf numFmtId="4" fontId="11" fillId="0" borderId="0" xfId="122" applyNumberFormat="1" applyFont="1" applyAlignment="1">
      <alignment horizontal="right"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 wrapText="1"/>
    </xf>
    <xf numFmtId="4" fontId="8" fillId="0" borderId="26" xfId="161" applyNumberFormat="1" applyFont="1" applyFill="1" applyBorder="1" applyAlignment="1">
      <alignment horizontal="right" vertical="center"/>
    </xf>
    <xf numFmtId="4" fontId="8" fillId="0" borderId="26" xfId="0" applyNumberFormat="1" applyFont="1" applyFill="1" applyBorder="1" applyAlignment="1">
      <alignment horizontal="center" vertical="center"/>
    </xf>
    <xf numFmtId="195" fontId="7" fillId="0" borderId="0" xfId="0" applyNumberFormat="1" applyFont="1" applyFill="1" applyBorder="1" applyAlignment="1">
      <alignment horizontal="left" vertical="center"/>
    </xf>
    <xf numFmtId="177" fontId="18" fillId="0" borderId="27" xfId="0" applyNumberFormat="1" applyFont="1" applyFill="1" applyBorder="1" applyAlignment="1">
      <alignment horizontal="center" vertical="center"/>
    </xf>
    <xf numFmtId="195" fontId="7" fillId="0" borderId="28" xfId="0" applyNumberFormat="1" applyFont="1" applyFill="1" applyBorder="1" applyAlignment="1">
      <alignment horizontal="left" vertical="center"/>
    </xf>
    <xf numFmtId="181" fontId="7" fillId="0" borderId="0" xfId="161" applyNumberFormat="1" applyFont="1" applyFill="1" applyBorder="1" applyAlignment="1">
      <alignment horizontal="center" vertical="center"/>
    </xf>
    <xf numFmtId="181" fontId="8" fillId="0" borderId="19" xfId="161" applyNumberFormat="1" applyFont="1" applyFill="1" applyBorder="1" applyAlignment="1">
      <alignment horizontal="center" vertical="center"/>
    </xf>
    <xf numFmtId="181" fontId="10" fillId="0" borderId="25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8" fillId="0" borderId="26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4" fontId="10" fillId="0" borderId="26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 wrapText="1"/>
    </xf>
    <xf numFmtId="4" fontId="8" fillId="0" borderId="26" xfId="0" applyNumberFormat="1" applyFont="1" applyFill="1" applyBorder="1" applyAlignment="1">
      <alignment vertical="center"/>
    </xf>
    <xf numFmtId="49" fontId="8" fillId="0" borderId="26" xfId="93" applyNumberFormat="1" applyFont="1" applyFill="1" applyBorder="1" applyAlignment="1">
      <alignment horizontal="center" vertical="center"/>
    </xf>
    <xf numFmtId="0" fontId="8" fillId="0" borderId="26" xfId="121" applyFont="1" applyFill="1" applyBorder="1" applyAlignment="1">
      <alignment vertical="center" wrapText="1"/>
      <protection/>
    </xf>
    <xf numFmtId="4" fontId="8" fillId="0" borderId="26" xfId="0" applyNumberFormat="1" applyFont="1" applyFill="1" applyBorder="1" applyAlignment="1">
      <alignment vertical="center" wrapText="1"/>
    </xf>
    <xf numFmtId="40" fontId="8" fillId="0" borderId="26" xfId="16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/>
    </xf>
    <xf numFmtId="4" fontId="7" fillId="0" borderId="22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81" fontId="10" fillId="0" borderId="23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199" fontId="9" fillId="16" borderId="22" xfId="126" applyNumberFormat="1" applyFill="1" applyBorder="1" applyAlignment="1" applyProtection="1">
      <alignment horizontal="center"/>
      <protection locked="0"/>
    </xf>
    <xf numFmtId="199" fontId="9" fillId="31" borderId="19" xfId="126" applyNumberFormat="1" applyFill="1" applyBorder="1" applyAlignment="1" applyProtection="1">
      <alignment horizontal="center"/>
      <protection/>
    </xf>
    <xf numFmtId="199" fontId="9" fillId="16" borderId="22" xfId="126" applyNumberFormat="1" applyFont="1" applyFill="1" applyBorder="1" applyAlignment="1" applyProtection="1">
      <alignment horizontal="center"/>
      <protection locked="0"/>
    </xf>
    <xf numFmtId="199" fontId="25" fillId="31" borderId="22" xfId="126" applyNumberFormat="1" applyFont="1" applyFill="1" applyBorder="1" applyAlignment="1" applyProtection="1">
      <alignment horizontal="center"/>
      <protection/>
    </xf>
    <xf numFmtId="199" fontId="25" fillId="31" borderId="19" xfId="126" applyNumberFormat="1" applyFont="1" applyFill="1" applyBorder="1" applyAlignment="1" applyProtection="1">
      <alignment horizontal="center"/>
      <protection/>
    </xf>
    <xf numFmtId="199" fontId="25" fillId="31" borderId="0" xfId="126" applyNumberFormat="1" applyFont="1" applyFill="1" applyBorder="1" applyAlignment="1" applyProtection="1">
      <alignment horizontal="center"/>
      <protection/>
    </xf>
    <xf numFmtId="199" fontId="29" fillId="16" borderId="30" xfId="126" applyNumberFormat="1" applyFont="1" applyFill="1" applyBorder="1" applyAlignment="1" applyProtection="1">
      <alignment horizontal="center"/>
      <protection/>
    </xf>
    <xf numFmtId="199" fontId="29" fillId="31" borderId="30" xfId="126" applyNumberFormat="1" applyFont="1" applyFill="1" applyBorder="1" applyAlignment="1" applyProtection="1">
      <alignment horizontal="center"/>
      <protection/>
    </xf>
    <xf numFmtId="199" fontId="29" fillId="31" borderId="31" xfId="126" applyNumberFormat="1" applyFont="1" applyFill="1" applyBorder="1" applyAlignment="1" applyProtection="1">
      <alignment horizontal="center"/>
      <protection/>
    </xf>
    <xf numFmtId="199" fontId="37" fillId="31" borderId="31" xfId="126" applyNumberFormat="1" applyFont="1" applyFill="1" applyBorder="1" applyAlignment="1" applyProtection="1">
      <alignment horizontal="center"/>
      <protection/>
    </xf>
    <xf numFmtId="0" fontId="14" fillId="0" borderId="0" xfId="112" applyFont="1" applyBorder="1" applyAlignment="1" applyProtection="1">
      <alignment vertical="center"/>
      <protection/>
    </xf>
    <xf numFmtId="14" fontId="13" fillId="0" borderId="0" xfId="112" applyNumberFormat="1" applyFont="1" applyFill="1" applyBorder="1" applyAlignment="1" applyProtection="1">
      <alignment vertical="center"/>
      <protection/>
    </xf>
    <xf numFmtId="0" fontId="13" fillId="0" borderId="0" xfId="112" applyFont="1" applyFill="1" applyBorder="1" applyAlignment="1" applyProtection="1">
      <alignment vertical="center"/>
      <protection/>
    </xf>
    <xf numFmtId="0" fontId="14" fillId="0" borderId="0" xfId="112" applyFont="1" applyFill="1" applyBorder="1" applyAlignment="1" applyProtection="1">
      <alignment vertical="center"/>
      <protection/>
    </xf>
    <xf numFmtId="0" fontId="13" fillId="0" borderId="0" xfId="112" applyFont="1" applyBorder="1" applyAlignment="1" applyProtection="1">
      <alignment horizontal="centerContinuous" vertical="center"/>
      <protection/>
    </xf>
    <xf numFmtId="10" fontId="13" fillId="0" borderId="0" xfId="129" applyNumberFormat="1" applyFont="1" applyFill="1" applyBorder="1" applyAlignment="1" applyProtection="1">
      <alignment horizontal="centerContinuous" vertical="center"/>
      <protection/>
    </xf>
    <xf numFmtId="0" fontId="14" fillId="0" borderId="0" xfId="112" applyFont="1" applyFill="1" applyAlignment="1" applyProtection="1">
      <alignment vertical="center"/>
      <protection/>
    </xf>
    <xf numFmtId="10" fontId="14" fillId="0" borderId="0" xfId="129" applyNumberFormat="1" applyFont="1" applyBorder="1" applyAlignment="1" applyProtection="1">
      <alignment vertical="center"/>
      <protection/>
    </xf>
    <xf numFmtId="0" fontId="14" fillId="0" borderId="0" xfId="112" applyFont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10" fontId="10" fillId="0" borderId="26" xfId="125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161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center" vertical="center"/>
    </xf>
    <xf numFmtId="10" fontId="10" fillId="0" borderId="22" xfId="125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/>
    </xf>
    <xf numFmtId="171" fontId="8" fillId="0" borderId="32" xfId="161" applyNumberFormat="1" applyFont="1" applyFill="1" applyBorder="1" applyAlignment="1">
      <alignment/>
    </xf>
    <xf numFmtId="0" fontId="8" fillId="49" borderId="0" xfId="0" applyFont="1" applyFill="1" applyAlignment="1">
      <alignment/>
    </xf>
    <xf numFmtId="0" fontId="8" fillId="0" borderId="28" xfId="0" applyFont="1" applyFill="1" applyBorder="1" applyAlignment="1">
      <alignment/>
    </xf>
    <xf numFmtId="171" fontId="8" fillId="49" borderId="27" xfId="161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171" fontId="8" fillId="49" borderId="34" xfId="161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1" fontId="8" fillId="0" borderId="0" xfId="161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171" fontId="8" fillId="49" borderId="35" xfId="161" applyNumberFormat="1" applyFont="1" applyFill="1" applyBorder="1" applyAlignment="1">
      <alignment/>
    </xf>
    <xf numFmtId="0" fontId="8" fillId="0" borderId="33" xfId="0" applyFont="1" applyBorder="1" applyAlignment="1">
      <alignment/>
    </xf>
    <xf numFmtId="10" fontId="14" fillId="0" borderId="19" xfId="125" applyNumberFormat="1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43" fontId="8" fillId="0" borderId="0" xfId="0" applyNumberFormat="1" applyFont="1" applyAlignment="1">
      <alignment/>
    </xf>
    <xf numFmtId="4" fontId="7" fillId="50" borderId="0" xfId="161" applyNumberFormat="1" applyFont="1" applyFill="1" applyBorder="1" applyAlignment="1">
      <alignment horizontal="left" vertical="center"/>
    </xf>
    <xf numFmtId="195" fontId="7" fillId="50" borderId="0" xfId="0" applyNumberFormat="1" applyFont="1" applyFill="1" applyBorder="1" applyAlignment="1">
      <alignment horizontal="left" vertical="center"/>
    </xf>
    <xf numFmtId="4" fontId="7" fillId="50" borderId="0" xfId="161" applyNumberFormat="1" applyFont="1" applyFill="1" applyBorder="1" applyAlignment="1">
      <alignment horizontal="center" vertical="center"/>
    </xf>
    <xf numFmtId="181" fontId="7" fillId="50" borderId="0" xfId="161" applyNumberFormat="1" applyFont="1" applyFill="1" applyBorder="1" applyAlignment="1">
      <alignment horizontal="center" vertical="center"/>
    </xf>
    <xf numFmtId="4" fontId="7" fillId="50" borderId="0" xfId="161" applyNumberFormat="1" applyFont="1" applyFill="1" applyBorder="1" applyAlignment="1">
      <alignment vertical="center"/>
    </xf>
    <xf numFmtId="177" fontId="18" fillId="50" borderId="27" xfId="0" applyNumberFormat="1" applyFont="1" applyFill="1" applyBorder="1" applyAlignment="1">
      <alignment horizontal="center" vertical="center"/>
    </xf>
    <xf numFmtId="4" fontId="7" fillId="50" borderId="29" xfId="161" applyNumberFormat="1" applyFont="1" applyFill="1" applyBorder="1" applyAlignment="1">
      <alignment horizontal="left" vertical="center"/>
    </xf>
    <xf numFmtId="195" fontId="7" fillId="50" borderId="23" xfId="0" applyNumberFormat="1" applyFont="1" applyFill="1" applyBorder="1" applyAlignment="1">
      <alignment horizontal="left" vertical="center"/>
    </xf>
    <xf numFmtId="4" fontId="7" fillId="50" borderId="23" xfId="161" applyNumberFormat="1" applyFont="1" applyFill="1" applyBorder="1" applyAlignment="1">
      <alignment horizontal="center" vertical="center"/>
    </xf>
    <xf numFmtId="181" fontId="7" fillId="50" borderId="23" xfId="161" applyNumberFormat="1" applyFont="1" applyFill="1" applyBorder="1" applyAlignment="1">
      <alignment horizontal="center" vertical="center"/>
    </xf>
    <xf numFmtId="4" fontId="7" fillId="50" borderId="23" xfId="161" applyNumberFormat="1" applyFont="1" applyFill="1" applyBorder="1" applyAlignment="1">
      <alignment vertical="center"/>
    </xf>
    <xf numFmtId="177" fontId="18" fillId="50" borderId="32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vertical="center"/>
    </xf>
    <xf numFmtId="4" fontId="104" fillId="0" borderId="0" xfId="161" applyNumberFormat="1" applyFont="1" applyFill="1" applyBorder="1" applyAlignment="1">
      <alignment vertical="center"/>
    </xf>
    <xf numFmtId="0" fontId="104" fillId="0" borderId="21" xfId="0" applyFont="1" applyFill="1" applyBorder="1" applyAlignment="1">
      <alignment vertical="center"/>
    </xf>
    <xf numFmtId="0" fontId="105" fillId="0" borderId="26" xfId="0" applyFont="1" applyFill="1" applyBorder="1" applyAlignment="1">
      <alignment vertical="center"/>
    </xf>
    <xf numFmtId="0" fontId="104" fillId="0" borderId="26" xfId="0" applyFont="1" applyFill="1" applyBorder="1" applyAlignment="1">
      <alignment vertical="center" wrapText="1"/>
    </xf>
    <xf numFmtId="0" fontId="104" fillId="0" borderId="22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4" fillId="0" borderId="23" xfId="0" applyFont="1" applyFill="1" applyBorder="1" applyAlignment="1">
      <alignment vertical="center"/>
    </xf>
    <xf numFmtId="4" fontId="106" fillId="0" borderId="0" xfId="0" applyNumberFormat="1" applyFont="1" applyFill="1" applyAlignment="1">
      <alignment horizontal="center" vertical="center"/>
    </xf>
    <xf numFmtId="0" fontId="8" fillId="0" borderId="26" xfId="93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4" fontId="8" fillId="0" borderId="26" xfId="0" applyNumberFormat="1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2" fontId="9" fillId="16" borderId="19" xfId="126" applyNumberFormat="1" applyFill="1" applyBorder="1" applyAlignment="1" applyProtection="1">
      <alignment horizontal="right"/>
      <protection locked="0"/>
    </xf>
    <xf numFmtId="0" fontId="19" fillId="31" borderId="0" xfId="103" applyFont="1" applyFill="1">
      <alignment/>
      <protection/>
    </xf>
    <xf numFmtId="0" fontId="9" fillId="31" borderId="0" xfId="103" applyFill="1">
      <alignment/>
      <protection/>
    </xf>
    <xf numFmtId="0" fontId="9" fillId="31" borderId="0" xfId="103" applyFill="1" applyAlignment="1">
      <alignment horizontal="center"/>
      <protection/>
    </xf>
    <xf numFmtId="0" fontId="20" fillId="31" borderId="0" xfId="103" applyFont="1" applyFill="1">
      <alignment/>
      <protection/>
    </xf>
    <xf numFmtId="0" fontId="21" fillId="31" borderId="0" xfId="103" applyFont="1" applyFill="1" applyAlignment="1">
      <alignment horizontal="center"/>
      <protection/>
    </xf>
    <xf numFmtId="0" fontId="20" fillId="31" borderId="0" xfId="103" applyFont="1" applyFill="1" applyAlignment="1">
      <alignment horizontal="center"/>
      <protection/>
    </xf>
    <xf numFmtId="0" fontId="9" fillId="31" borderId="0" xfId="103" applyFill="1" applyAlignment="1">
      <alignment horizontal="left"/>
      <protection/>
    </xf>
    <xf numFmtId="0" fontId="9" fillId="16" borderId="24" xfId="0" applyFont="1" applyFill="1" applyBorder="1" applyAlignment="1" applyProtection="1">
      <alignment/>
      <protection locked="0"/>
    </xf>
    <xf numFmtId="0" fontId="9" fillId="16" borderId="19" xfId="103" applyFill="1" applyBorder="1" applyProtection="1">
      <alignment/>
      <protection locked="0"/>
    </xf>
    <xf numFmtId="0" fontId="21" fillId="31" borderId="0" xfId="103" applyFont="1" applyFill="1">
      <alignment/>
      <protection/>
    </xf>
    <xf numFmtId="0" fontId="107" fillId="31" borderId="0" xfId="103" applyFont="1" applyFill="1">
      <alignment/>
      <protection/>
    </xf>
    <xf numFmtId="0" fontId="9" fillId="31" borderId="0" xfId="103" applyFill="1" applyAlignment="1">
      <alignment horizontal="left" vertical="center"/>
      <protection/>
    </xf>
    <xf numFmtId="0" fontId="9" fillId="31" borderId="0" xfId="103" applyFill="1" applyAlignment="1" applyProtection="1">
      <alignment horizontal="left"/>
      <protection locked="0"/>
    </xf>
    <xf numFmtId="0" fontId="9" fillId="31" borderId="0" xfId="103" applyFill="1" applyProtection="1">
      <alignment/>
      <protection locked="0"/>
    </xf>
    <xf numFmtId="171" fontId="9" fillId="16" borderId="19" xfId="162" applyFont="1" applyFill="1" applyBorder="1" applyAlignment="1" applyProtection="1">
      <alignment horizontal="right" vertical="center"/>
      <protection locked="0"/>
    </xf>
    <xf numFmtId="0" fontId="24" fillId="33" borderId="36" xfId="103" applyFont="1" applyFill="1" applyBorder="1" applyAlignment="1">
      <alignment horizontal="center"/>
      <protection/>
    </xf>
    <xf numFmtId="0" fontId="24" fillId="33" borderId="37" xfId="103" applyFont="1" applyFill="1" applyBorder="1" applyAlignment="1">
      <alignment horizontal="center"/>
      <protection/>
    </xf>
    <xf numFmtId="0" fontId="9" fillId="31" borderId="22" xfId="103" applyFill="1" applyBorder="1" applyAlignment="1">
      <alignment horizontal="center"/>
      <protection/>
    </xf>
    <xf numFmtId="199" fontId="9" fillId="31" borderId="22" xfId="103" applyNumberFormat="1" applyFill="1" applyBorder="1" applyAlignment="1">
      <alignment horizontal="center"/>
      <protection/>
    </xf>
    <xf numFmtId="2" fontId="20" fillId="31" borderId="0" xfId="103" applyNumberFormat="1" applyFont="1" applyFill="1">
      <alignment/>
      <protection/>
    </xf>
    <xf numFmtId="0" fontId="9" fillId="31" borderId="19" xfId="103" applyFill="1" applyBorder="1" applyAlignment="1">
      <alignment horizontal="center"/>
      <protection/>
    </xf>
    <xf numFmtId="0" fontId="9" fillId="31" borderId="24" xfId="103" applyFill="1" applyBorder="1" applyAlignment="1">
      <alignment horizontal="left" indent="1"/>
      <protection/>
    </xf>
    <xf numFmtId="0" fontId="9" fillId="31" borderId="25" xfId="103" applyFill="1" applyBorder="1" applyAlignment="1">
      <alignment horizontal="left" indent="1"/>
      <protection/>
    </xf>
    <xf numFmtId="0" fontId="9" fillId="31" borderId="35" xfId="103" applyFill="1" applyBorder="1" applyAlignment="1">
      <alignment horizontal="left" indent="1"/>
      <protection/>
    </xf>
    <xf numFmtId="0" fontId="9" fillId="31" borderId="35" xfId="103" applyFill="1" applyBorder="1">
      <alignment/>
      <protection/>
    </xf>
    <xf numFmtId="0" fontId="9" fillId="31" borderId="33" xfId="103" applyFill="1" applyBorder="1" applyAlignment="1">
      <alignment horizontal="left" indent="1"/>
      <protection/>
    </xf>
    <xf numFmtId="0" fontId="9" fillId="31" borderId="34" xfId="103" applyFill="1" applyBorder="1" applyAlignment="1">
      <alignment horizontal="left" indent="1"/>
      <protection/>
    </xf>
    <xf numFmtId="0" fontId="9" fillId="31" borderId="34" xfId="103" applyFill="1" applyBorder="1">
      <alignment/>
      <protection/>
    </xf>
    <xf numFmtId="2" fontId="9" fillId="31" borderId="0" xfId="103" applyNumberFormat="1" applyFill="1" applyAlignment="1">
      <alignment horizontal="center"/>
      <protection/>
    </xf>
    <xf numFmtId="0" fontId="24" fillId="51" borderId="36" xfId="103" applyFont="1" applyFill="1" applyBorder="1" applyAlignment="1">
      <alignment horizontal="center"/>
      <protection/>
    </xf>
    <xf numFmtId="0" fontId="24" fillId="51" borderId="37" xfId="103" applyFont="1" applyFill="1" applyBorder="1" applyAlignment="1">
      <alignment horizontal="center"/>
      <protection/>
    </xf>
    <xf numFmtId="0" fontId="19" fillId="31" borderId="0" xfId="103" applyFont="1" applyFill="1" applyAlignment="1">
      <alignment horizontal="left" indent="2"/>
      <protection/>
    </xf>
    <xf numFmtId="0" fontId="29" fillId="31" borderId="0" xfId="103" applyFont="1" applyFill="1">
      <alignment/>
      <protection/>
    </xf>
    <xf numFmtId="0" fontId="29" fillId="31" borderId="0" xfId="103" applyFont="1" applyFill="1" applyAlignment="1">
      <alignment horizontal="center"/>
      <protection/>
    </xf>
    <xf numFmtId="0" fontId="29" fillId="31" borderId="0" xfId="103" applyFont="1" applyFill="1" applyAlignment="1">
      <alignment horizontal="justify"/>
      <protection/>
    </xf>
    <xf numFmtId="0" fontId="29" fillId="52" borderId="0" xfId="103" applyFont="1" applyFill="1" applyAlignment="1">
      <alignment horizontal="justify"/>
      <protection/>
    </xf>
    <xf numFmtId="0" fontId="32" fillId="52" borderId="0" xfId="103" applyFont="1" applyFill="1">
      <alignment/>
      <protection/>
    </xf>
    <xf numFmtId="9" fontId="21" fillId="31" borderId="0" xfId="103" applyNumberFormat="1" applyFont="1" applyFill="1">
      <alignment/>
      <protection/>
    </xf>
    <xf numFmtId="0" fontId="29" fillId="31" borderId="38" xfId="103" applyFont="1" applyFill="1" applyBorder="1">
      <alignment/>
      <protection/>
    </xf>
    <xf numFmtId="0" fontId="29" fillId="31" borderId="39" xfId="103" applyFont="1" applyFill="1" applyBorder="1">
      <alignment/>
      <protection/>
    </xf>
    <xf numFmtId="0" fontId="29" fillId="52" borderId="0" xfId="103" applyFont="1" applyFill="1" applyAlignment="1">
      <alignment horizontal="center"/>
      <protection/>
    </xf>
    <xf numFmtId="0" fontId="29" fillId="52" borderId="0" xfId="103" applyFont="1" applyFill="1">
      <alignment/>
      <protection/>
    </xf>
    <xf numFmtId="0" fontId="34" fillId="52" borderId="0" xfId="103" applyFont="1" applyFill="1" applyAlignment="1">
      <alignment vertical="center" wrapText="1"/>
      <protection/>
    </xf>
    <xf numFmtId="0" fontId="35" fillId="33" borderId="37" xfId="103" applyFont="1" applyFill="1" applyBorder="1" applyAlignment="1">
      <alignment horizontal="center"/>
      <protection/>
    </xf>
    <xf numFmtId="0" fontId="35" fillId="52" borderId="0" xfId="103" applyFont="1" applyFill="1" applyAlignment="1">
      <alignment horizontal="center"/>
      <protection/>
    </xf>
    <xf numFmtId="0" fontId="29" fillId="31" borderId="40" xfId="103" applyFont="1" applyFill="1" applyBorder="1" applyAlignment="1">
      <alignment horizontal="center"/>
      <protection/>
    </xf>
    <xf numFmtId="199" fontId="29" fillId="52" borderId="0" xfId="103" applyNumberFormat="1" applyFont="1" applyFill="1" applyAlignment="1">
      <alignment horizontal="center"/>
      <protection/>
    </xf>
    <xf numFmtId="0" fontId="29" fillId="31" borderId="41" xfId="103" applyFont="1" applyFill="1" applyBorder="1" applyAlignment="1">
      <alignment horizontal="center"/>
      <protection/>
    </xf>
    <xf numFmtId="0" fontId="29" fillId="31" borderId="24" xfId="103" applyFont="1" applyFill="1" applyBorder="1" applyAlignment="1">
      <alignment horizontal="left" indent="1"/>
      <protection/>
    </xf>
    <xf numFmtId="0" fontId="29" fillId="31" borderId="35" xfId="103" applyFont="1" applyFill="1" applyBorder="1" applyAlignment="1">
      <alignment horizontal="left" indent="1"/>
      <protection/>
    </xf>
    <xf numFmtId="0" fontId="29" fillId="31" borderId="42" xfId="103" applyFont="1" applyFill="1" applyBorder="1" applyAlignment="1">
      <alignment horizontal="center"/>
      <protection/>
    </xf>
    <xf numFmtId="0" fontId="29" fillId="31" borderId="43" xfId="103" applyFont="1" applyFill="1" applyBorder="1" applyAlignment="1">
      <alignment horizontal="left" indent="1"/>
      <protection/>
    </xf>
    <xf numFmtId="0" fontId="29" fillId="31" borderId="44" xfId="103" applyFont="1" applyFill="1" applyBorder="1" applyAlignment="1">
      <alignment horizontal="left" indent="1"/>
      <protection/>
    </xf>
    <xf numFmtId="2" fontId="29" fillId="31" borderId="0" xfId="103" applyNumberFormat="1" applyFont="1" applyFill="1" applyAlignment="1">
      <alignment horizontal="center"/>
      <protection/>
    </xf>
    <xf numFmtId="0" fontId="29" fillId="31" borderId="45" xfId="103" applyFont="1" applyFill="1" applyBorder="1">
      <alignment/>
      <protection/>
    </xf>
    <xf numFmtId="0" fontId="29" fillId="31" borderId="46" xfId="103" applyFont="1" applyFill="1" applyBorder="1" applyAlignment="1">
      <alignment horizontal="center" vertical="top"/>
      <protection/>
    </xf>
    <xf numFmtId="0" fontId="36" fillId="31" borderId="0" xfId="103" applyFont="1" applyFill="1">
      <alignment/>
      <protection/>
    </xf>
    <xf numFmtId="10" fontId="7" fillId="0" borderId="0" xfId="125" applyNumberFormat="1" applyFont="1" applyFill="1" applyBorder="1" applyAlignment="1">
      <alignment horizontal="left" vertical="center"/>
    </xf>
    <xf numFmtId="0" fontId="8" fillId="0" borderId="26" xfId="121" applyFont="1" applyBorder="1" applyAlignment="1">
      <alignment vertical="center" wrapText="1"/>
      <protection/>
    </xf>
    <xf numFmtId="0" fontId="8" fillId="0" borderId="19" xfId="0" applyFont="1" applyBorder="1" applyAlignment="1">
      <alignment vertical="center" wrapText="1"/>
    </xf>
    <xf numFmtId="4" fontId="8" fillId="0" borderId="19" xfId="0" applyNumberFormat="1" applyFont="1" applyBorder="1" applyAlignment="1">
      <alignment horizontal="right" vertical="center"/>
    </xf>
    <xf numFmtId="0" fontId="8" fillId="52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52" borderId="19" xfId="0" applyFont="1" applyFill="1" applyBorder="1" applyAlignment="1">
      <alignment vertical="center" wrapText="1"/>
    </xf>
    <xf numFmtId="4" fontId="8" fillId="52" borderId="19" xfId="161" applyNumberFormat="1" applyFont="1" applyFill="1" applyBorder="1" applyAlignment="1">
      <alignment horizontal="center" vertical="center"/>
    </xf>
    <xf numFmtId="181" fontId="8" fillId="52" borderId="19" xfId="161" applyNumberFormat="1" applyFont="1" applyFill="1" applyBorder="1" applyAlignment="1">
      <alignment horizontal="center" vertical="center"/>
    </xf>
    <xf numFmtId="4" fontId="8" fillId="52" borderId="19" xfId="0" applyNumberFormat="1" applyFont="1" applyFill="1" applyBorder="1" applyAlignment="1">
      <alignment horizontal="right" vertical="center"/>
    </xf>
    <xf numFmtId="4" fontId="7" fillId="13" borderId="29" xfId="161" applyNumberFormat="1" applyFont="1" applyFill="1" applyBorder="1" applyAlignment="1">
      <alignment horizontal="left" vertical="center"/>
    </xf>
    <xf numFmtId="195" fontId="7" fillId="13" borderId="23" xfId="0" applyNumberFormat="1" applyFont="1" applyFill="1" applyBorder="1" applyAlignment="1">
      <alignment horizontal="left" vertical="center"/>
    </xf>
    <xf numFmtId="4" fontId="7" fillId="13" borderId="23" xfId="161" applyNumberFormat="1" applyFont="1" applyFill="1" applyBorder="1" applyAlignment="1">
      <alignment horizontal="center" vertical="center"/>
    </xf>
    <xf numFmtId="181" fontId="7" fillId="13" borderId="23" xfId="161" applyNumberFormat="1" applyFont="1" applyFill="1" applyBorder="1" applyAlignment="1">
      <alignment horizontal="center" vertical="center"/>
    </xf>
    <xf numFmtId="4" fontId="7" fillId="13" borderId="23" xfId="161" applyNumberFormat="1" applyFont="1" applyFill="1" applyBorder="1" applyAlignment="1">
      <alignment vertical="center"/>
    </xf>
    <xf numFmtId="177" fontId="18" fillId="13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31" borderId="0" xfId="0" applyFont="1" applyFill="1" applyBorder="1" applyAlignment="1">
      <alignment vertical="center"/>
    </xf>
    <xf numFmtId="0" fontId="16" fillId="31" borderId="0" xfId="0" applyFont="1" applyFill="1" applyBorder="1" applyAlignment="1">
      <alignment vertical="center" wrapText="1"/>
    </xf>
    <xf numFmtId="181" fontId="8" fillId="0" borderId="19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8" fillId="52" borderId="0" xfId="0" applyFont="1" applyFill="1" applyAlignment="1">
      <alignment vertical="center"/>
    </xf>
    <xf numFmtId="4" fontId="10" fillId="52" borderId="19" xfId="0" applyNumberFormat="1" applyFont="1" applyFill="1" applyBorder="1" applyAlignment="1">
      <alignment horizontal="center" vertical="center" wrapText="1"/>
    </xf>
    <xf numFmtId="4" fontId="8" fillId="52" borderId="19" xfId="0" applyNumberFormat="1" applyFont="1" applyFill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19" xfId="161" applyNumberFormat="1" applyFont="1" applyFill="1" applyBorder="1" applyAlignment="1">
      <alignment vertical="center"/>
    </xf>
    <xf numFmtId="0" fontId="10" fillId="52" borderId="24" xfId="0" applyFont="1" applyFill="1" applyBorder="1" applyAlignment="1">
      <alignment vertical="center"/>
    </xf>
    <xf numFmtId="0" fontId="10" fillId="52" borderId="25" xfId="0" applyFont="1" applyFill="1" applyBorder="1" applyAlignment="1">
      <alignment vertical="center"/>
    </xf>
    <xf numFmtId="0" fontId="10" fillId="52" borderId="25" xfId="0" applyFont="1" applyFill="1" applyBorder="1" applyAlignment="1">
      <alignment horizontal="center" vertical="center"/>
    </xf>
    <xf numFmtId="181" fontId="10" fillId="52" borderId="25" xfId="0" applyNumberFormat="1" applyFont="1" applyFill="1" applyBorder="1" applyAlignment="1">
      <alignment vertical="center"/>
    </xf>
    <xf numFmtId="4" fontId="10" fillId="52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217" fontId="8" fillId="0" borderId="0" xfId="0" applyNumberFormat="1" applyFont="1" applyAlignment="1">
      <alignment/>
    </xf>
    <xf numFmtId="219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221" fontId="8" fillId="0" borderId="0" xfId="0" applyNumberFormat="1" applyFont="1" applyAlignment="1">
      <alignment/>
    </xf>
    <xf numFmtId="224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8" fontId="7" fillId="0" borderId="0" xfId="0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76" fontId="7" fillId="0" borderId="20" xfId="161" applyNumberFormat="1" applyFont="1" applyFill="1" applyBorder="1" applyAlignment="1">
      <alignment horizontal="left" vertical="center"/>
    </xf>
    <xf numFmtId="179" fontId="7" fillId="0" borderId="20" xfId="0" applyNumberFormat="1" applyFont="1" applyFill="1" applyBorder="1" applyAlignment="1">
      <alignment horizontal="left" vertical="center"/>
    </xf>
    <xf numFmtId="4" fontId="10" fillId="52" borderId="19" xfId="0" applyNumberFormat="1" applyFont="1" applyFill="1" applyBorder="1" applyAlignment="1">
      <alignment horizontal="center" vertical="center"/>
    </xf>
    <xf numFmtId="4" fontId="13" fillId="31" borderId="0" xfId="137" applyNumberFormat="1" applyFont="1" applyFill="1" applyBorder="1" applyAlignment="1">
      <alignment vertical="center"/>
    </xf>
    <xf numFmtId="0" fontId="13" fillId="31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5" fontId="108" fillId="0" borderId="0" xfId="111" applyNumberFormat="1" applyFont="1" applyAlignment="1">
      <alignment horizontal="left" vertical="center"/>
      <protection/>
    </xf>
    <xf numFmtId="175" fontId="108" fillId="0" borderId="0" xfId="111" applyNumberFormat="1" applyFont="1" applyAlignment="1">
      <alignment horizontal="center" vertical="center"/>
      <protection/>
    </xf>
    <xf numFmtId="0" fontId="108" fillId="0" borderId="0" xfId="111" applyFont="1" applyAlignment="1">
      <alignment horizontal="center" vertical="center"/>
      <protection/>
    </xf>
    <xf numFmtId="184" fontId="108" fillId="0" borderId="0" xfId="111" applyNumberFormat="1" applyFont="1" applyAlignment="1">
      <alignment horizontal="left" vertical="center"/>
      <protection/>
    </xf>
    <xf numFmtId="175" fontId="108" fillId="0" borderId="19" xfId="111" applyNumberFormat="1" applyFont="1" applyBorder="1" applyAlignment="1">
      <alignment horizontal="center" vertical="center"/>
      <protection/>
    </xf>
    <xf numFmtId="183" fontId="109" fillId="0" borderId="26" xfId="111" applyNumberFormat="1" applyFont="1" applyBorder="1" applyAlignment="1">
      <alignment horizontal="center" vertical="center"/>
      <protection/>
    </xf>
    <xf numFmtId="175" fontId="109" fillId="0" borderId="26" xfId="111" applyNumberFormat="1" applyFont="1" applyBorder="1" applyAlignment="1">
      <alignment horizontal="center" vertical="center"/>
      <protection/>
    </xf>
    <xf numFmtId="0" fontId="109" fillId="0" borderId="0" xfId="111" applyFont="1" applyAlignment="1">
      <alignment horizontal="center" vertical="center"/>
      <protection/>
    </xf>
    <xf numFmtId="181" fontId="109" fillId="0" borderId="0" xfId="111" applyNumberFormat="1" applyFont="1" applyAlignment="1">
      <alignment horizontal="center" vertical="center"/>
      <protection/>
    </xf>
    <xf numFmtId="43" fontId="108" fillId="0" borderId="24" xfId="164" applyFont="1" applyFill="1" applyBorder="1" applyAlignment="1">
      <alignment vertical="center"/>
    </xf>
    <xf numFmtId="43" fontId="108" fillId="0" borderId="35" xfId="164" applyFont="1" applyFill="1" applyBorder="1" applyAlignment="1">
      <alignment vertical="center"/>
    </xf>
    <xf numFmtId="175" fontId="108" fillId="0" borderId="19" xfId="164" applyNumberFormat="1" applyFont="1" applyBorder="1" applyAlignment="1">
      <alignment horizontal="center" vertical="center"/>
    </xf>
    <xf numFmtId="175" fontId="108" fillId="0" borderId="24" xfId="111" applyNumberFormat="1" applyFont="1" applyBorder="1" applyAlignment="1">
      <alignment horizontal="center" vertical="center"/>
      <protection/>
    </xf>
    <xf numFmtId="184" fontId="109" fillId="0" borderId="0" xfId="111" applyNumberFormat="1" applyFont="1" applyAlignment="1">
      <alignment horizontal="center" vertical="center"/>
      <protection/>
    </xf>
    <xf numFmtId="175" fontId="109" fillId="0" borderId="0" xfId="111" applyNumberFormat="1" applyFont="1" applyAlignment="1">
      <alignment horizontal="center" vertical="center"/>
      <protection/>
    </xf>
    <xf numFmtId="0" fontId="10" fillId="0" borderId="0" xfId="104" applyFont="1" applyBorder="1" applyAlignment="1">
      <alignment horizontal="left" vertical="center"/>
      <protection/>
    </xf>
    <xf numFmtId="0" fontId="59" fillId="0" borderId="0" xfId="104" applyFont="1" applyBorder="1" applyAlignment="1">
      <alignment vertical="center"/>
      <protection/>
    </xf>
    <xf numFmtId="0" fontId="59" fillId="0" borderId="0" xfId="104" applyFont="1" applyBorder="1" applyAlignment="1">
      <alignment horizontal="center" vertical="center"/>
      <protection/>
    </xf>
    <xf numFmtId="0" fontId="14" fillId="0" borderId="0" xfId="104" applyFont="1" applyAlignment="1">
      <alignment vertical="center"/>
      <protection/>
    </xf>
    <xf numFmtId="0" fontId="13" fillId="0" borderId="0" xfId="104" applyFont="1" applyBorder="1" applyAlignment="1">
      <alignment horizontal="left" vertical="center"/>
      <protection/>
    </xf>
    <xf numFmtId="0" fontId="7" fillId="0" borderId="0" xfId="104" applyFont="1" applyBorder="1" applyAlignment="1">
      <alignment horizontal="center" vertical="center"/>
      <protection/>
    </xf>
    <xf numFmtId="0" fontId="8" fillId="0" borderId="0" xfId="104" applyFont="1" applyBorder="1" applyAlignment="1">
      <alignment horizontal="left" vertical="center"/>
      <protection/>
    </xf>
    <xf numFmtId="0" fontId="17" fillId="0" borderId="47" xfId="104" applyFont="1" applyBorder="1" applyAlignment="1">
      <alignment horizontal="center" vertical="center"/>
      <protection/>
    </xf>
    <xf numFmtId="0" fontId="60" fillId="0" borderId="0" xfId="104" applyFont="1" applyAlignment="1">
      <alignment horizontal="center" vertical="center" wrapText="1"/>
      <protection/>
    </xf>
    <xf numFmtId="0" fontId="17" fillId="0" borderId="48" xfId="104" applyFont="1" applyBorder="1" applyAlignment="1">
      <alignment horizontal="center" vertical="center"/>
      <protection/>
    </xf>
    <xf numFmtId="2" fontId="14" fillId="0" borderId="47" xfId="104" applyNumberFormat="1" applyFont="1" applyBorder="1" applyAlignment="1">
      <alignment horizontal="center" vertical="center"/>
      <protection/>
    </xf>
    <xf numFmtId="4" fontId="14" fillId="0" borderId="47" xfId="104" applyNumberFormat="1" applyFont="1" applyBorder="1" applyAlignment="1">
      <alignment horizontal="center" vertical="center"/>
      <protection/>
    </xf>
    <xf numFmtId="2" fontId="14" fillId="0" borderId="0" xfId="104" applyNumberFormat="1" applyFont="1" applyAlignment="1">
      <alignment horizontal="center" vertical="center"/>
      <protection/>
    </xf>
    <xf numFmtId="2" fontId="14" fillId="0" borderId="39" xfId="104" applyNumberFormat="1" applyFont="1" applyBorder="1" applyAlignment="1">
      <alignment horizontal="center" vertical="center"/>
      <protection/>
    </xf>
    <xf numFmtId="0" fontId="110" fillId="0" borderId="49" xfId="116" applyFont="1" applyBorder="1" applyAlignment="1">
      <alignment horizontal="center"/>
      <protection/>
    </xf>
    <xf numFmtId="2" fontId="14" fillId="0" borderId="49" xfId="104" applyNumberFormat="1" applyFont="1" applyBorder="1" applyAlignment="1">
      <alignment horizontal="center" vertical="center"/>
      <protection/>
    </xf>
    <xf numFmtId="0" fontId="14" fillId="0" borderId="49" xfId="104" applyFont="1" applyBorder="1" applyAlignment="1">
      <alignment horizontal="center" vertical="center"/>
      <protection/>
    </xf>
    <xf numFmtId="213" fontId="110" fillId="0" borderId="48" xfId="116" applyNumberFormat="1" applyFont="1" applyBorder="1" applyAlignment="1">
      <alignment horizontal="center"/>
      <protection/>
    </xf>
    <xf numFmtId="2" fontId="14" fillId="0" borderId="48" xfId="104" applyNumberFormat="1" applyFont="1" applyBorder="1" applyAlignment="1">
      <alignment horizontal="center" vertical="center"/>
      <protection/>
    </xf>
    <xf numFmtId="0" fontId="110" fillId="0" borderId="48" xfId="116" applyFont="1" applyBorder="1" applyAlignment="1">
      <alignment horizontal="center"/>
      <protection/>
    </xf>
    <xf numFmtId="0" fontId="14" fillId="0" borderId="48" xfId="104" applyFont="1" applyBorder="1" applyAlignment="1">
      <alignment horizontal="center" vertical="center"/>
      <protection/>
    </xf>
    <xf numFmtId="2" fontId="14" fillId="0" borderId="38" xfId="104" applyNumberFormat="1" applyFont="1" applyBorder="1" applyAlignment="1">
      <alignment horizontal="center" vertical="center"/>
      <protection/>
    </xf>
    <xf numFmtId="0" fontId="13" fillId="0" borderId="50" xfId="104" applyFont="1" applyBorder="1" applyAlignment="1">
      <alignment horizontal="center" vertical="center"/>
      <protection/>
    </xf>
    <xf numFmtId="0" fontId="13" fillId="0" borderId="45" xfId="104" applyFont="1" applyBorder="1" applyAlignment="1">
      <alignment horizontal="center" vertical="center"/>
      <protection/>
    </xf>
    <xf numFmtId="214" fontId="13" fillId="0" borderId="51" xfId="104" applyNumberFormat="1" applyFont="1" applyBorder="1" applyAlignment="1">
      <alignment horizontal="center" vertical="center"/>
      <protection/>
    </xf>
    <xf numFmtId="0" fontId="13" fillId="0" borderId="45" xfId="104" applyFont="1" applyBorder="1" applyAlignment="1">
      <alignment vertical="center"/>
      <protection/>
    </xf>
    <xf numFmtId="214" fontId="13" fillId="0" borderId="52" xfId="104" applyNumberFormat="1" applyFont="1" applyBorder="1" applyAlignment="1">
      <alignment horizontal="center" vertical="center"/>
      <protection/>
    </xf>
    <xf numFmtId="0" fontId="13" fillId="0" borderId="46" xfId="104" applyFont="1" applyBorder="1" applyAlignment="1">
      <alignment horizontal="left" vertical="center"/>
      <protection/>
    </xf>
    <xf numFmtId="0" fontId="13" fillId="0" borderId="53" xfId="104" applyFont="1" applyBorder="1" applyAlignment="1">
      <alignment horizontal="right" vertical="center"/>
      <protection/>
    </xf>
    <xf numFmtId="0" fontId="13" fillId="0" borderId="45" xfId="104" applyFont="1" applyBorder="1" applyAlignment="1">
      <alignment horizontal="right" vertical="center"/>
      <protection/>
    </xf>
    <xf numFmtId="4" fontId="13" fillId="0" borderId="51" xfId="104" applyNumberFormat="1" applyFont="1" applyBorder="1" applyAlignment="1">
      <alignment horizontal="center" vertical="center"/>
      <protection/>
    </xf>
    <xf numFmtId="0" fontId="13" fillId="0" borderId="50" xfId="104" applyFont="1" applyBorder="1" applyAlignment="1">
      <alignment horizontal="left" vertical="center"/>
      <protection/>
    </xf>
    <xf numFmtId="4" fontId="13" fillId="0" borderId="54" xfId="104" applyNumberFormat="1" applyFont="1" applyBorder="1" applyAlignment="1">
      <alignment horizontal="center" vertical="center"/>
      <protection/>
    </xf>
    <xf numFmtId="4" fontId="13" fillId="0" borderId="0" xfId="104" applyNumberFormat="1" applyFont="1" applyAlignment="1">
      <alignment horizontal="center" vertical="center"/>
      <protection/>
    </xf>
    <xf numFmtId="0" fontId="14" fillId="0" borderId="0" xfId="104" applyFont="1" applyBorder="1" applyAlignment="1">
      <alignment vertical="center"/>
      <protection/>
    </xf>
    <xf numFmtId="2" fontId="14" fillId="0" borderId="0" xfId="104" applyNumberFormat="1" applyFont="1" applyAlignment="1">
      <alignment vertical="center"/>
      <protection/>
    </xf>
    <xf numFmtId="4" fontId="14" fillId="0" borderId="0" xfId="104" applyNumberFormat="1" applyFont="1" applyBorder="1" applyAlignment="1">
      <alignment vertical="center"/>
      <protection/>
    </xf>
    <xf numFmtId="171" fontId="14" fillId="0" borderId="0" xfId="104" applyNumberFormat="1" applyFont="1" applyAlignment="1">
      <alignment vertical="center"/>
      <protection/>
    </xf>
    <xf numFmtId="0" fontId="13" fillId="0" borderId="55" xfId="104" applyFont="1" applyBorder="1" applyAlignment="1">
      <alignment horizontal="center" vertical="center"/>
      <protection/>
    </xf>
    <xf numFmtId="0" fontId="13" fillId="0" borderId="36" xfId="104" applyFont="1" applyBorder="1" applyAlignment="1">
      <alignment horizontal="center" vertical="center"/>
      <protection/>
    </xf>
    <xf numFmtId="0" fontId="13" fillId="0" borderId="37" xfId="104" applyFont="1" applyBorder="1" applyAlignment="1">
      <alignment horizontal="center" vertical="center"/>
      <protection/>
    </xf>
    <xf numFmtId="0" fontId="13" fillId="0" borderId="36" xfId="104" applyFont="1" applyBorder="1" applyAlignment="1">
      <alignment vertical="center"/>
      <protection/>
    </xf>
    <xf numFmtId="4" fontId="14" fillId="0" borderId="40" xfId="104" applyNumberFormat="1" applyFont="1" applyBorder="1" applyAlignment="1">
      <alignment horizontal="center" vertical="center"/>
      <protection/>
    </xf>
    <xf numFmtId="0" fontId="14" fillId="0" borderId="22" xfId="104" applyFont="1" applyBorder="1" applyAlignment="1">
      <alignment horizontal="center" vertical="center"/>
      <protection/>
    </xf>
    <xf numFmtId="4" fontId="14" fillId="0" borderId="30" xfId="104" applyNumberFormat="1" applyFont="1" applyBorder="1" applyAlignment="1">
      <alignment horizontal="center" vertical="center"/>
      <protection/>
    </xf>
    <xf numFmtId="0" fontId="14" fillId="0" borderId="30" xfId="104" applyFont="1" applyBorder="1" applyAlignment="1">
      <alignment horizontal="center" vertical="center"/>
      <protection/>
    </xf>
    <xf numFmtId="0" fontId="14" fillId="0" borderId="40" xfId="104" applyFont="1" applyBorder="1" applyAlignment="1">
      <alignment vertical="center"/>
      <protection/>
    </xf>
    <xf numFmtId="9" fontId="14" fillId="0" borderId="22" xfId="127" applyFont="1" applyBorder="1" applyAlignment="1">
      <alignment horizontal="center" vertical="center"/>
    </xf>
    <xf numFmtId="40" fontId="14" fillId="0" borderId="30" xfId="163" applyFont="1" applyFill="1" applyBorder="1" applyAlignment="1">
      <alignment vertical="center"/>
    </xf>
    <xf numFmtId="4" fontId="14" fillId="0" borderId="41" xfId="104" applyNumberFormat="1" applyFont="1" applyBorder="1" applyAlignment="1">
      <alignment horizontal="center" vertical="center"/>
      <protection/>
    </xf>
    <xf numFmtId="0" fontId="14" fillId="0" borderId="19" xfId="104" applyFont="1" applyBorder="1" applyAlignment="1">
      <alignment horizontal="center" vertical="center"/>
      <protection/>
    </xf>
    <xf numFmtId="3" fontId="14" fillId="0" borderId="56" xfId="104" applyNumberFormat="1" applyFont="1" applyBorder="1" applyAlignment="1">
      <alignment horizontal="center" vertical="center"/>
      <protection/>
    </xf>
    <xf numFmtId="0" fontId="14" fillId="0" borderId="41" xfId="104" applyFont="1" applyBorder="1" applyAlignment="1">
      <alignment vertical="center"/>
      <protection/>
    </xf>
    <xf numFmtId="9" fontId="14" fillId="0" borderId="19" xfId="125" applyFont="1" applyFill="1" applyBorder="1" applyAlignment="1">
      <alignment horizontal="center" vertical="center"/>
    </xf>
    <xf numFmtId="0" fontId="13" fillId="0" borderId="0" xfId="104" applyFont="1" applyAlignment="1">
      <alignment horizontal="center" vertical="center"/>
      <protection/>
    </xf>
    <xf numFmtId="0" fontId="14" fillId="0" borderId="57" xfId="104" applyFont="1" applyBorder="1" applyAlignment="1">
      <alignment vertical="center"/>
      <protection/>
    </xf>
    <xf numFmtId="9" fontId="14" fillId="0" borderId="21" xfId="127" applyFont="1" applyBorder="1" applyAlignment="1">
      <alignment horizontal="center" vertical="center"/>
    </xf>
    <xf numFmtId="40" fontId="14" fillId="0" borderId="58" xfId="163" applyFont="1" applyFill="1" applyBorder="1" applyAlignment="1">
      <alignment vertical="center"/>
    </xf>
    <xf numFmtId="40" fontId="13" fillId="0" borderId="51" xfId="163" applyFont="1" applyFill="1" applyBorder="1" applyAlignment="1">
      <alignment vertical="center"/>
    </xf>
    <xf numFmtId="40" fontId="13" fillId="0" borderId="54" xfId="163" applyFont="1" applyFill="1" applyBorder="1" applyAlignment="1">
      <alignment vertical="center"/>
    </xf>
    <xf numFmtId="0" fontId="13" fillId="0" borderId="58" xfId="104" applyFont="1" applyBorder="1" applyAlignment="1">
      <alignment horizontal="center" vertical="center"/>
      <protection/>
    </xf>
    <xf numFmtId="3" fontId="14" fillId="0" borderId="59" xfId="104" applyNumberFormat="1" applyFont="1" applyBorder="1" applyAlignment="1">
      <alignment horizontal="center" vertical="center"/>
      <protection/>
    </xf>
    <xf numFmtId="43" fontId="14" fillId="0" borderId="0" xfId="104" applyNumberFormat="1" applyFont="1" applyAlignment="1">
      <alignment vertical="center"/>
      <protection/>
    </xf>
    <xf numFmtId="0" fontId="14" fillId="0" borderId="38" xfId="104" applyFont="1" applyBorder="1" applyAlignment="1">
      <alignment vertical="center"/>
      <protection/>
    </xf>
    <xf numFmtId="4" fontId="13" fillId="0" borderId="37" xfId="104" applyNumberFormat="1" applyFont="1" applyBorder="1" applyAlignment="1">
      <alignment horizontal="center" vertical="center"/>
      <protection/>
    </xf>
    <xf numFmtId="0" fontId="108" fillId="0" borderId="0" xfId="114" applyFont="1">
      <alignment/>
      <protection/>
    </xf>
    <xf numFmtId="0" fontId="109" fillId="0" borderId="0" xfId="114" applyFont="1">
      <alignment/>
      <protection/>
    </xf>
    <xf numFmtId="0" fontId="111" fillId="0" borderId="19" xfId="114" applyFont="1" applyBorder="1" applyAlignment="1">
      <alignment horizontal="center" vertical="center"/>
      <protection/>
    </xf>
    <xf numFmtId="0" fontId="111" fillId="0" borderId="19" xfId="114" applyFont="1" applyBorder="1" applyAlignment="1">
      <alignment vertical="center"/>
      <protection/>
    </xf>
    <xf numFmtId="0" fontId="112" fillId="0" borderId="19" xfId="114" applyFont="1" applyBorder="1" applyAlignment="1">
      <alignment horizontal="center" vertical="center"/>
      <protection/>
    </xf>
    <xf numFmtId="0" fontId="112" fillId="0" borderId="35" xfId="114" applyFont="1" applyBorder="1" applyAlignment="1">
      <alignment horizontal="center" vertical="center"/>
      <protection/>
    </xf>
    <xf numFmtId="0" fontId="109" fillId="0" borderId="19" xfId="114" applyFont="1" applyBorder="1">
      <alignment/>
      <protection/>
    </xf>
    <xf numFmtId="0" fontId="109" fillId="0" borderId="19" xfId="114" applyFont="1" applyBorder="1" applyAlignment="1">
      <alignment horizontal="center" vertical="center"/>
      <protection/>
    </xf>
    <xf numFmtId="0" fontId="108" fillId="0" borderId="19" xfId="114" applyFont="1" applyBorder="1" applyAlignment="1">
      <alignment horizontal="center" vertical="center"/>
      <protection/>
    </xf>
    <xf numFmtId="0" fontId="112" fillId="0" borderId="19" xfId="114" applyFont="1" applyBorder="1" applyAlignment="1">
      <alignment horizontal="left" vertical="center"/>
      <protection/>
    </xf>
    <xf numFmtId="0" fontId="109" fillId="0" borderId="0" xfId="114" applyFont="1" applyAlignment="1">
      <alignment horizontal="center" vertical="center"/>
      <protection/>
    </xf>
    <xf numFmtId="0" fontId="109" fillId="0" borderId="0" xfId="114" applyFont="1" applyAlignment="1">
      <alignment vertical="center"/>
      <protection/>
    </xf>
    <xf numFmtId="0" fontId="12" fillId="31" borderId="0" xfId="103" applyFont="1" applyFill="1" applyProtection="1">
      <alignment/>
      <protection/>
    </xf>
    <xf numFmtId="0" fontId="11" fillId="31" borderId="0" xfId="103" applyFont="1" applyFill="1" applyProtection="1">
      <alignment/>
      <protection/>
    </xf>
    <xf numFmtId="0" fontId="11" fillId="31" borderId="0" xfId="103" applyFont="1" applyFill="1" applyAlignment="1" applyProtection="1">
      <alignment horizontal="center"/>
      <protection/>
    </xf>
    <xf numFmtId="0" fontId="61" fillId="31" borderId="0" xfId="103" applyFont="1" applyFill="1" applyProtection="1">
      <alignment/>
      <protection/>
    </xf>
    <xf numFmtId="0" fontId="62" fillId="31" borderId="0" xfId="103" applyFont="1" applyFill="1" applyAlignment="1" applyProtection="1">
      <alignment horizontal="center"/>
      <protection/>
    </xf>
    <xf numFmtId="0" fontId="61" fillId="31" borderId="0" xfId="103" applyFont="1" applyFill="1" applyBorder="1" applyProtection="1">
      <alignment/>
      <protection/>
    </xf>
    <xf numFmtId="0" fontId="61" fillId="31" borderId="0" xfId="103" applyFont="1" applyFill="1" applyBorder="1" applyAlignment="1" applyProtection="1">
      <alignment horizontal="center"/>
      <protection/>
    </xf>
    <xf numFmtId="0" fontId="11" fillId="31" borderId="0" xfId="103" applyFont="1" applyFill="1" applyBorder="1" applyProtection="1">
      <alignment/>
      <protection/>
    </xf>
    <xf numFmtId="0" fontId="11" fillId="31" borderId="0" xfId="103" applyFont="1" applyFill="1" applyAlignment="1" applyProtection="1">
      <alignment horizontal="left"/>
      <protection/>
    </xf>
    <xf numFmtId="0" fontId="11" fillId="16" borderId="24" xfId="0" applyFont="1" applyFill="1" applyBorder="1" applyAlignment="1" applyProtection="1">
      <alignment/>
      <protection locked="0"/>
    </xf>
    <xf numFmtId="0" fontId="11" fillId="16" borderId="19" xfId="103" applyFont="1" applyFill="1" applyBorder="1" applyAlignment="1" applyProtection="1">
      <alignment/>
      <protection locked="0"/>
    </xf>
    <xf numFmtId="0" fontId="61" fillId="31" borderId="0" xfId="103" applyFont="1" applyFill="1" applyBorder="1" applyAlignment="1" applyProtection="1">
      <alignment/>
      <protection/>
    </xf>
    <xf numFmtId="0" fontId="62" fillId="31" borderId="0" xfId="103" applyFont="1" applyFill="1" applyBorder="1" applyProtection="1">
      <alignment/>
      <protection/>
    </xf>
    <xf numFmtId="0" fontId="113" fillId="31" borderId="0" xfId="103" applyFont="1" applyFill="1" applyProtection="1">
      <alignment/>
      <protection/>
    </xf>
    <xf numFmtId="0" fontId="62" fillId="31" borderId="0" xfId="103" applyFont="1" applyFill="1" applyProtection="1">
      <alignment/>
      <protection/>
    </xf>
    <xf numFmtId="0" fontId="11" fillId="31" borderId="0" xfId="103" applyFont="1" applyFill="1" applyBorder="1" applyAlignment="1" applyProtection="1">
      <alignment/>
      <protection/>
    </xf>
    <xf numFmtId="0" fontId="11" fillId="31" borderId="0" xfId="103" applyFont="1" applyFill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31" borderId="0" xfId="103" applyFont="1" applyFill="1" applyBorder="1" applyAlignment="1" applyProtection="1">
      <alignment horizontal="left"/>
      <protection locked="0"/>
    </xf>
    <xf numFmtId="0" fontId="11" fillId="31" borderId="0" xfId="103" applyFont="1" applyFill="1" applyBorder="1" applyAlignment="1" applyProtection="1">
      <alignment/>
      <protection locked="0"/>
    </xf>
    <xf numFmtId="2" fontId="11" fillId="16" borderId="19" xfId="126" applyNumberFormat="1" applyFont="1" applyFill="1" applyBorder="1" applyAlignment="1" applyProtection="1">
      <alignment horizontal="right"/>
      <protection locked="0"/>
    </xf>
    <xf numFmtId="171" fontId="11" fillId="16" borderId="19" xfId="162" applyFont="1" applyFill="1" applyBorder="1" applyAlignment="1" applyProtection="1">
      <alignment horizontal="right"/>
      <protection locked="0"/>
    </xf>
    <xf numFmtId="0" fontId="11" fillId="31" borderId="0" xfId="103" applyFont="1" applyFill="1" applyBorder="1" applyAlignment="1" applyProtection="1">
      <alignment horizontal="center"/>
      <protection/>
    </xf>
    <xf numFmtId="0" fontId="65" fillId="33" borderId="36" xfId="103" applyFont="1" applyFill="1" applyBorder="1" applyAlignment="1" applyProtection="1">
      <alignment horizontal="center"/>
      <protection/>
    </xf>
    <xf numFmtId="0" fontId="65" fillId="33" borderId="37" xfId="103" applyFont="1" applyFill="1" applyBorder="1" applyAlignment="1" applyProtection="1">
      <alignment horizontal="center"/>
      <protection/>
    </xf>
    <xf numFmtId="0" fontId="11" fillId="31" borderId="22" xfId="103" applyFont="1" applyFill="1" applyBorder="1" applyAlignment="1" applyProtection="1">
      <alignment horizontal="center"/>
      <protection/>
    </xf>
    <xf numFmtId="199" fontId="11" fillId="16" borderId="22" xfId="126" applyNumberFormat="1" applyFont="1" applyFill="1" applyBorder="1" applyAlignment="1" applyProtection="1">
      <alignment horizontal="center"/>
      <protection locked="0"/>
    </xf>
    <xf numFmtId="199" fontId="11" fillId="31" borderId="22" xfId="103" applyNumberFormat="1" applyFont="1" applyFill="1" applyBorder="1" applyAlignment="1" applyProtection="1">
      <alignment horizontal="center"/>
      <protection/>
    </xf>
    <xf numFmtId="2" fontId="61" fillId="31" borderId="0" xfId="103" applyNumberFormat="1" applyFont="1" applyFill="1" applyProtection="1">
      <alignment/>
      <protection/>
    </xf>
    <xf numFmtId="0" fontId="11" fillId="31" borderId="19" xfId="103" applyFont="1" applyFill="1" applyBorder="1" applyAlignment="1" applyProtection="1">
      <alignment horizontal="center"/>
      <protection/>
    </xf>
    <xf numFmtId="0" fontId="11" fillId="31" borderId="24" xfId="103" applyFont="1" applyFill="1" applyBorder="1" applyAlignment="1" applyProtection="1">
      <alignment horizontal="left" indent="1"/>
      <protection/>
    </xf>
    <xf numFmtId="0" fontId="11" fillId="31" borderId="25" xfId="103" applyFont="1" applyFill="1" applyBorder="1" applyAlignment="1" applyProtection="1">
      <alignment horizontal="left" indent="1"/>
      <protection/>
    </xf>
    <xf numFmtId="0" fontId="11" fillId="31" borderId="35" xfId="103" applyFont="1" applyFill="1" applyBorder="1" applyAlignment="1" applyProtection="1">
      <alignment horizontal="left" indent="1"/>
      <protection/>
    </xf>
    <xf numFmtId="199" fontId="11" fillId="31" borderId="19" xfId="126" applyNumberFormat="1" applyFont="1" applyFill="1" applyBorder="1" applyAlignment="1" applyProtection="1">
      <alignment horizontal="center"/>
      <protection/>
    </xf>
    <xf numFmtId="0" fontId="11" fillId="31" borderId="35" xfId="103" applyFont="1" applyFill="1" applyBorder="1" applyProtection="1">
      <alignment/>
      <protection/>
    </xf>
    <xf numFmtId="0" fontId="11" fillId="31" borderId="33" xfId="103" applyFont="1" applyFill="1" applyBorder="1" applyAlignment="1" applyProtection="1">
      <alignment horizontal="left" indent="1"/>
      <protection/>
    </xf>
    <xf numFmtId="0" fontId="11" fillId="31" borderId="34" xfId="103" applyFont="1" applyFill="1" applyBorder="1" applyAlignment="1" applyProtection="1">
      <alignment horizontal="left" indent="1"/>
      <protection/>
    </xf>
    <xf numFmtId="0" fontId="11" fillId="31" borderId="34" xfId="103" applyFont="1" applyFill="1" applyBorder="1" applyProtection="1">
      <alignment/>
      <protection/>
    </xf>
    <xf numFmtId="2" fontId="11" fillId="31" borderId="0" xfId="103" applyNumberFormat="1" applyFont="1" applyFill="1" applyAlignment="1" applyProtection="1">
      <alignment horizontal="center"/>
      <protection/>
    </xf>
    <xf numFmtId="0" fontId="11" fillId="31" borderId="46" xfId="103" applyFont="1" applyFill="1" applyBorder="1" applyAlignment="1" applyProtection="1">
      <alignment horizontal="center" vertical="top"/>
      <protection/>
    </xf>
    <xf numFmtId="0" fontId="65" fillId="51" borderId="36" xfId="103" applyFont="1" applyFill="1" applyBorder="1" applyAlignment="1" applyProtection="1">
      <alignment horizontal="center"/>
      <protection/>
    </xf>
    <xf numFmtId="0" fontId="65" fillId="51" borderId="37" xfId="103" applyFont="1" applyFill="1" applyBorder="1" applyAlignment="1" applyProtection="1">
      <alignment horizontal="center"/>
      <protection/>
    </xf>
    <xf numFmtId="199" fontId="14" fillId="31" borderId="22" xfId="126" applyNumberFormat="1" applyFont="1" applyFill="1" applyBorder="1" applyAlignment="1" applyProtection="1">
      <alignment horizontal="center"/>
      <protection/>
    </xf>
    <xf numFmtId="199" fontId="14" fillId="31" borderId="19" xfId="126" applyNumberFormat="1" applyFont="1" applyFill="1" applyBorder="1" applyAlignment="1" applyProtection="1">
      <alignment horizontal="center"/>
      <protection/>
    </xf>
    <xf numFmtId="0" fontId="12" fillId="31" borderId="0" xfId="103" applyFont="1" applyFill="1" applyBorder="1" applyAlignment="1" applyProtection="1">
      <alignment horizontal="left" indent="2"/>
      <protection/>
    </xf>
    <xf numFmtId="199" fontId="14" fillId="31" borderId="0" xfId="126" applyNumberFormat="1" applyFont="1" applyFill="1" applyBorder="1" applyAlignment="1" applyProtection="1">
      <alignment horizontal="center"/>
      <protection/>
    </xf>
    <xf numFmtId="0" fontId="11" fillId="31" borderId="0" xfId="103" applyFont="1" applyFill="1" applyAlignment="1" applyProtection="1">
      <alignment horizontal="justify"/>
      <protection/>
    </xf>
    <xf numFmtId="0" fontId="11" fillId="52" borderId="0" xfId="103" applyFont="1" applyFill="1" applyBorder="1" applyAlignment="1" applyProtection="1">
      <alignment horizontal="justify"/>
      <protection/>
    </xf>
    <xf numFmtId="0" fontId="63" fillId="52" borderId="0" xfId="103" applyFont="1" applyFill="1" applyBorder="1" applyAlignment="1" applyProtection="1">
      <alignment/>
      <protection/>
    </xf>
    <xf numFmtId="9" fontId="62" fillId="31" borderId="0" xfId="103" applyNumberFormat="1" applyFont="1" applyFill="1" applyProtection="1">
      <alignment/>
      <protection/>
    </xf>
    <xf numFmtId="0" fontId="11" fillId="31" borderId="38" xfId="103" applyFont="1" applyFill="1" applyBorder="1" applyProtection="1">
      <alignment/>
      <protection/>
    </xf>
    <xf numFmtId="0" fontId="11" fillId="31" borderId="39" xfId="103" applyFont="1" applyFill="1" applyBorder="1" applyProtection="1">
      <alignment/>
      <protection/>
    </xf>
    <xf numFmtId="0" fontId="11" fillId="52" borderId="0" xfId="103" applyFont="1" applyFill="1" applyBorder="1" applyAlignment="1" applyProtection="1">
      <alignment horizontal="center"/>
      <protection/>
    </xf>
    <xf numFmtId="0" fontId="11" fillId="52" borderId="0" xfId="103" applyFont="1" applyFill="1" applyBorder="1" applyProtection="1">
      <alignment/>
      <protection/>
    </xf>
    <xf numFmtId="0" fontId="12" fillId="52" borderId="0" xfId="103" applyFont="1" applyFill="1" applyBorder="1" applyAlignment="1" applyProtection="1">
      <alignment vertical="center" wrapText="1"/>
      <protection/>
    </xf>
    <xf numFmtId="0" fontId="65" fillId="52" borderId="0" xfId="103" applyFont="1" applyFill="1" applyBorder="1" applyAlignment="1" applyProtection="1">
      <alignment horizontal="center"/>
      <protection/>
    </xf>
    <xf numFmtId="0" fontId="11" fillId="31" borderId="40" xfId="103" applyFont="1" applyFill="1" applyBorder="1" applyAlignment="1" applyProtection="1">
      <alignment horizontal="center"/>
      <protection/>
    </xf>
    <xf numFmtId="199" fontId="11" fillId="16" borderId="30" xfId="126" applyNumberFormat="1" applyFont="1" applyFill="1" applyBorder="1" applyAlignment="1" applyProtection="1">
      <alignment horizontal="center"/>
      <protection/>
    </xf>
    <xf numFmtId="199" fontId="11" fillId="52" borderId="0" xfId="103" applyNumberFormat="1" applyFont="1" applyFill="1" applyBorder="1" applyAlignment="1" applyProtection="1">
      <alignment horizontal="center"/>
      <protection/>
    </xf>
    <xf numFmtId="0" fontId="11" fillId="31" borderId="41" xfId="103" applyFont="1" applyFill="1" applyBorder="1" applyAlignment="1" applyProtection="1">
      <alignment horizontal="center"/>
      <protection/>
    </xf>
    <xf numFmtId="199" fontId="11" fillId="31" borderId="30" xfId="126" applyNumberFormat="1" applyFont="1" applyFill="1" applyBorder="1" applyAlignment="1" applyProtection="1">
      <alignment horizontal="center"/>
      <protection/>
    </xf>
    <xf numFmtId="0" fontId="11" fillId="31" borderId="42" xfId="103" applyFont="1" applyFill="1" applyBorder="1" applyAlignment="1" applyProtection="1">
      <alignment horizontal="center"/>
      <protection/>
    </xf>
    <xf numFmtId="0" fontId="11" fillId="31" borderId="43" xfId="103" applyFont="1" applyFill="1" applyBorder="1" applyAlignment="1" applyProtection="1">
      <alignment horizontal="left" indent="1"/>
      <protection/>
    </xf>
    <xf numFmtId="0" fontId="11" fillId="31" borderId="44" xfId="103" applyFont="1" applyFill="1" applyBorder="1" applyAlignment="1" applyProtection="1">
      <alignment horizontal="left" indent="1"/>
      <protection/>
    </xf>
    <xf numFmtId="199" fontId="11" fillId="31" borderId="31" xfId="126" applyNumberFormat="1" applyFont="1" applyFill="1" applyBorder="1" applyAlignment="1" applyProtection="1">
      <alignment horizontal="center"/>
      <protection/>
    </xf>
    <xf numFmtId="0" fontId="11" fillId="31" borderId="45" xfId="103" applyFont="1" applyFill="1" applyBorder="1" applyProtection="1">
      <alignment/>
      <protection/>
    </xf>
    <xf numFmtId="199" fontId="14" fillId="31" borderId="31" xfId="126" applyNumberFormat="1" applyFont="1" applyFill="1" applyBorder="1" applyAlignment="1" applyProtection="1">
      <alignment horizontal="center"/>
      <protection/>
    </xf>
    <xf numFmtId="0" fontId="66" fillId="31" borderId="0" xfId="103" applyFont="1" applyFill="1" applyProtection="1">
      <alignment/>
      <protection/>
    </xf>
    <xf numFmtId="2" fontId="61" fillId="31" borderId="0" xfId="103" applyNumberFormat="1" applyFont="1" applyFill="1" applyBorder="1" applyProtection="1">
      <alignment/>
      <protection/>
    </xf>
    <xf numFmtId="0" fontId="61" fillId="31" borderId="0" xfId="103" applyFont="1" applyFill="1">
      <alignment/>
      <protection/>
    </xf>
    <xf numFmtId="0" fontId="11" fillId="31" borderId="0" xfId="103" applyFont="1" applyFill="1">
      <alignment/>
      <protection/>
    </xf>
    <xf numFmtId="4" fontId="103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226" fontId="7" fillId="0" borderId="0" xfId="0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195" fontId="7" fillId="0" borderId="20" xfId="0" applyNumberFormat="1" applyFont="1" applyFill="1" applyBorder="1" applyAlignment="1">
      <alignment horizontal="left" vertical="center"/>
    </xf>
    <xf numFmtId="225" fontId="7" fillId="0" borderId="20" xfId="0" applyNumberFormat="1" applyFont="1" applyFill="1" applyBorder="1" applyAlignment="1">
      <alignment horizontal="left"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34" xfId="0" applyNumberFormat="1" applyFont="1" applyFill="1" applyBorder="1" applyAlignment="1">
      <alignment vertical="center"/>
    </xf>
    <xf numFmtId="0" fontId="111" fillId="0" borderId="48" xfId="116" applyFont="1" applyBorder="1" applyAlignment="1">
      <alignment horizontal="center" vertical="center" textRotation="180"/>
      <protection/>
    </xf>
    <xf numFmtId="0" fontId="110" fillId="0" borderId="47" xfId="116" applyFont="1" applyBorder="1" applyAlignment="1">
      <alignment horizontal="center" vertical="center"/>
      <protection/>
    </xf>
    <xf numFmtId="0" fontId="110" fillId="0" borderId="49" xfId="116" applyFont="1" applyBorder="1" applyAlignment="1">
      <alignment horizontal="center" vertical="center"/>
      <protection/>
    </xf>
    <xf numFmtId="213" fontId="110" fillId="0" borderId="47" xfId="116" applyNumberFormat="1" applyFont="1" applyBorder="1" applyAlignment="1">
      <alignment horizontal="center" vertical="center"/>
      <protection/>
    </xf>
    <xf numFmtId="213" fontId="110" fillId="0" borderId="49" xfId="116" applyNumberFormat="1" applyFont="1" applyBorder="1" applyAlignment="1">
      <alignment horizontal="center" vertical="center"/>
      <protection/>
    </xf>
    <xf numFmtId="213" fontId="110" fillId="0" borderId="48" xfId="116" applyNumberFormat="1" applyFont="1" applyBorder="1" applyAlignment="1">
      <alignment horizontal="center" vertical="center"/>
      <protection/>
    </xf>
    <xf numFmtId="0" fontId="110" fillId="0" borderId="48" xfId="116" applyFont="1" applyBorder="1" applyAlignment="1">
      <alignment horizontal="center" vertical="center"/>
      <protection/>
    </xf>
    <xf numFmtId="4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178" fontId="7" fillId="0" borderId="28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4" fontId="7" fillId="0" borderId="19" xfId="161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179" fontId="7" fillId="0" borderId="28" xfId="0" applyNumberFormat="1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horizontal="left" vertical="center"/>
    </xf>
    <xf numFmtId="197" fontId="7" fillId="0" borderId="28" xfId="0" applyNumberFormat="1" applyFont="1" applyFill="1" applyBorder="1" applyAlignment="1">
      <alignment horizontal="left" vertical="center"/>
    </xf>
    <xf numFmtId="197" fontId="7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21" xfId="161" applyNumberFormat="1" applyFont="1" applyFill="1" applyBorder="1" applyAlignment="1">
      <alignment horizontal="center" vertical="center"/>
    </xf>
    <xf numFmtId="4" fontId="7" fillId="0" borderId="22" xfId="161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195" fontId="7" fillId="0" borderId="19" xfId="0" applyNumberFormat="1" applyFont="1" applyFill="1" applyBorder="1" applyAlignment="1">
      <alignment horizontal="center" vertical="center"/>
    </xf>
    <xf numFmtId="0" fontId="13" fillId="0" borderId="29" xfId="122" applyFont="1" applyBorder="1" applyAlignment="1">
      <alignment horizontal="center" vertical="center"/>
      <protection/>
    </xf>
    <xf numFmtId="0" fontId="13" fillId="0" borderId="32" xfId="122" applyFont="1" applyBorder="1" applyAlignment="1">
      <alignment horizontal="center" vertical="center"/>
      <protection/>
    </xf>
    <xf numFmtId="0" fontId="13" fillId="0" borderId="33" xfId="122" applyFont="1" applyBorder="1" applyAlignment="1">
      <alignment horizontal="center" vertical="center"/>
      <protection/>
    </xf>
    <xf numFmtId="0" fontId="13" fillId="0" borderId="34" xfId="122" applyFont="1" applyBorder="1" applyAlignment="1">
      <alignment horizontal="center" vertical="center"/>
      <protection/>
    </xf>
    <xf numFmtId="0" fontId="13" fillId="0" borderId="24" xfId="122" applyFont="1" applyBorder="1" applyAlignment="1">
      <alignment horizontal="center" vertical="center"/>
      <protection/>
    </xf>
    <xf numFmtId="0" fontId="13" fillId="0" borderId="35" xfId="122" applyFont="1" applyBorder="1" applyAlignment="1">
      <alignment horizontal="center" vertical="center"/>
      <protection/>
    </xf>
    <xf numFmtId="0" fontId="13" fillId="0" borderId="19" xfId="122" applyFont="1" applyBorder="1" applyAlignment="1">
      <alignment horizontal="center" vertical="center"/>
      <protection/>
    </xf>
    <xf numFmtId="4" fontId="13" fillId="0" borderId="19" xfId="122" applyNumberFormat="1" applyFont="1" applyBorder="1" applyAlignment="1">
      <alignment horizontal="center" vertical="center"/>
      <protection/>
    </xf>
    <xf numFmtId="4" fontId="13" fillId="31" borderId="19" xfId="137" applyNumberFormat="1" applyFont="1" applyFill="1" applyBorder="1" applyAlignment="1">
      <alignment horizontal="center" vertical="center"/>
    </xf>
    <xf numFmtId="175" fontId="12" fillId="0" borderId="19" xfId="122" applyNumberFormat="1" applyFont="1" applyBorder="1" applyAlignment="1">
      <alignment horizontal="center" vertical="center"/>
      <protection/>
    </xf>
    <xf numFmtId="0" fontId="12" fillId="0" borderId="19" xfId="122" applyFont="1" applyBorder="1" applyAlignment="1">
      <alignment horizontal="center" vertical="center"/>
      <protection/>
    </xf>
    <xf numFmtId="0" fontId="10" fillId="52" borderId="19" xfId="0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52" borderId="19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1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35" xfId="0" applyNumberFormat="1" applyFont="1" applyFill="1" applyBorder="1" applyAlignment="1">
      <alignment horizontal="center" vertical="center"/>
    </xf>
    <xf numFmtId="4" fontId="10" fillId="52" borderId="19" xfId="0" applyNumberFormat="1" applyFont="1" applyFill="1" applyBorder="1" applyAlignment="1">
      <alignment horizontal="center" vertical="center"/>
    </xf>
    <xf numFmtId="181" fontId="10" fillId="52" borderId="19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4" fontId="10" fillId="0" borderId="21" xfId="161" applyNumberFormat="1" applyFont="1" applyFill="1" applyBorder="1" applyAlignment="1">
      <alignment horizontal="center" vertical="center"/>
    </xf>
    <xf numFmtId="4" fontId="10" fillId="0" borderId="22" xfId="161" applyNumberFormat="1" applyFont="1" applyFill="1" applyBorder="1" applyAlignment="1">
      <alignment horizontal="center" vertical="center"/>
    </xf>
    <xf numFmtId="181" fontId="10" fillId="0" borderId="21" xfId="0" applyNumberFormat="1" applyFont="1" applyFill="1" applyBorder="1" applyAlignment="1">
      <alignment horizontal="center" vertical="center"/>
    </xf>
    <xf numFmtId="181" fontId="10" fillId="0" borderId="22" xfId="0" applyNumberFormat="1" applyFont="1" applyFill="1" applyBorder="1" applyAlignment="1">
      <alignment horizontal="center" vertical="center"/>
    </xf>
    <xf numFmtId="0" fontId="109" fillId="0" borderId="0" xfId="111" applyFont="1" applyAlignment="1">
      <alignment horizontal="center" vertical="center"/>
      <protection/>
    </xf>
    <xf numFmtId="184" fontId="108" fillId="0" borderId="24" xfId="111" applyNumberFormat="1" applyFont="1" applyBorder="1" applyAlignment="1">
      <alignment horizontal="center" vertical="center"/>
      <protection/>
    </xf>
    <xf numFmtId="184" fontId="108" fillId="0" borderId="25" xfId="111" applyNumberFormat="1" applyFont="1" applyBorder="1" applyAlignment="1">
      <alignment horizontal="center" vertical="center"/>
      <protection/>
    </xf>
    <xf numFmtId="184" fontId="108" fillId="0" borderId="35" xfId="111" applyNumberFormat="1" applyFont="1" applyBorder="1" applyAlignment="1">
      <alignment horizontal="center" vertical="center"/>
      <protection/>
    </xf>
    <xf numFmtId="184" fontId="108" fillId="0" borderId="19" xfId="111" applyNumberFormat="1" applyFont="1" applyBorder="1" applyAlignment="1">
      <alignment horizontal="center" vertical="center"/>
      <protection/>
    </xf>
    <xf numFmtId="175" fontId="108" fillId="0" borderId="19" xfId="111" applyNumberFormat="1" applyFont="1" applyBorder="1" applyAlignment="1">
      <alignment horizontal="center" vertical="center"/>
      <protection/>
    </xf>
    <xf numFmtId="0" fontId="14" fillId="0" borderId="41" xfId="104" applyFont="1" applyBorder="1" applyAlignment="1">
      <alignment horizontal="left" vertical="center"/>
      <protection/>
    </xf>
    <xf numFmtId="0" fontId="14" fillId="0" borderId="19" xfId="104" applyFont="1" applyBorder="1" applyAlignment="1">
      <alignment horizontal="left" vertical="center"/>
      <protection/>
    </xf>
    <xf numFmtId="0" fontId="13" fillId="0" borderId="50" xfId="104" applyFont="1" applyBorder="1" applyAlignment="1">
      <alignment horizontal="center" vertical="center"/>
      <protection/>
    </xf>
    <xf numFmtId="0" fontId="13" fillId="0" borderId="45" xfId="104" applyFont="1" applyBorder="1" applyAlignment="1">
      <alignment horizontal="center" vertical="center"/>
      <protection/>
    </xf>
    <xf numFmtId="0" fontId="110" fillId="0" borderId="49" xfId="116" applyFont="1" applyBorder="1" applyAlignment="1">
      <alignment horizontal="center" vertical="center" textRotation="180"/>
      <protection/>
    </xf>
    <xf numFmtId="0" fontId="110" fillId="0" borderId="48" xfId="116" applyFont="1" applyBorder="1" applyAlignment="1">
      <alignment horizontal="center" vertical="center" textRotation="180"/>
      <protection/>
    </xf>
    <xf numFmtId="0" fontId="13" fillId="0" borderId="51" xfId="104" applyFont="1" applyBorder="1" applyAlignment="1">
      <alignment horizontal="center" vertical="center"/>
      <protection/>
    </xf>
    <xf numFmtId="4" fontId="13" fillId="0" borderId="50" xfId="104" applyNumberFormat="1" applyFont="1" applyBorder="1" applyAlignment="1">
      <alignment horizontal="left" vertical="center"/>
      <protection/>
    </xf>
    <xf numFmtId="4" fontId="13" fillId="0" borderId="45" xfId="104" applyNumberFormat="1" applyFont="1" applyBorder="1" applyAlignment="1">
      <alignment horizontal="left" vertical="center"/>
      <protection/>
    </xf>
    <xf numFmtId="0" fontId="13" fillId="0" borderId="60" xfId="104" applyFont="1" applyBorder="1" applyAlignment="1">
      <alignment horizontal="center" vertical="center"/>
      <protection/>
    </xf>
    <xf numFmtId="0" fontId="14" fillId="0" borderId="42" xfId="104" applyFont="1" applyBorder="1" applyAlignment="1">
      <alignment horizontal="left" vertical="center"/>
      <protection/>
    </xf>
    <xf numFmtId="0" fontId="14" fillId="0" borderId="61" xfId="104" applyFont="1" applyBorder="1" applyAlignment="1">
      <alignment horizontal="left" vertical="center"/>
      <protection/>
    </xf>
    <xf numFmtId="0" fontId="13" fillId="0" borderId="62" xfId="104" applyFont="1" applyBorder="1" applyAlignment="1">
      <alignment horizontal="center" vertical="center"/>
      <protection/>
    </xf>
    <xf numFmtId="0" fontId="13" fillId="0" borderId="63" xfId="104" applyFont="1" applyBorder="1" applyAlignment="1">
      <alignment horizontal="center" vertical="center"/>
      <protection/>
    </xf>
    <xf numFmtId="0" fontId="13" fillId="0" borderId="64" xfId="104" applyFont="1" applyBorder="1" applyAlignment="1">
      <alignment horizontal="center" vertical="center"/>
      <protection/>
    </xf>
    <xf numFmtId="0" fontId="14" fillId="0" borderId="47" xfId="104" applyFont="1" applyBorder="1" applyAlignment="1">
      <alignment horizontal="center" vertical="center" wrapText="1"/>
      <protection/>
    </xf>
    <xf numFmtId="0" fontId="14" fillId="0" borderId="48" xfId="104" applyFont="1" applyBorder="1" applyAlignment="1">
      <alignment horizontal="center" vertical="center" wrapText="1"/>
      <protection/>
    </xf>
    <xf numFmtId="0" fontId="14" fillId="0" borderId="65" xfId="104" applyFont="1" applyBorder="1" applyAlignment="1">
      <alignment horizontal="left" vertical="center"/>
      <protection/>
    </xf>
    <xf numFmtId="0" fontId="14" fillId="0" borderId="66" xfId="104" applyFont="1" applyBorder="1" applyAlignment="1">
      <alignment horizontal="left" vertical="center"/>
      <protection/>
    </xf>
    <xf numFmtId="0" fontId="14" fillId="0" borderId="67" xfId="104" applyFont="1" applyBorder="1" applyAlignment="1">
      <alignment horizontal="left" vertical="center"/>
      <protection/>
    </xf>
    <xf numFmtId="40" fontId="14" fillId="0" borderId="49" xfId="163" applyFont="1" applyFill="1" applyBorder="1" applyAlignment="1">
      <alignment horizontal="center" vertical="center"/>
    </xf>
    <xf numFmtId="0" fontId="14" fillId="0" borderId="68" xfId="104" applyFont="1" applyBorder="1" applyAlignment="1">
      <alignment horizontal="left" vertical="center"/>
      <protection/>
    </xf>
    <xf numFmtId="0" fontId="14" fillId="0" borderId="69" xfId="104" applyFont="1" applyBorder="1" applyAlignment="1">
      <alignment horizontal="left" vertical="center"/>
      <protection/>
    </xf>
    <xf numFmtId="0" fontId="14" fillId="0" borderId="44" xfId="104" applyFont="1" applyBorder="1" applyAlignment="1">
      <alignment horizontal="left" vertical="center"/>
      <protection/>
    </xf>
    <xf numFmtId="0" fontId="13" fillId="0" borderId="47" xfId="104" applyFont="1" applyBorder="1" applyAlignment="1">
      <alignment horizontal="center" vertical="center" wrapText="1"/>
      <protection/>
    </xf>
    <xf numFmtId="0" fontId="13" fillId="0" borderId="48" xfId="104" applyFont="1" applyBorder="1" applyAlignment="1">
      <alignment horizontal="center" vertical="center" wrapText="1"/>
      <protection/>
    </xf>
    <xf numFmtId="0" fontId="17" fillId="0" borderId="70" xfId="104" applyFont="1" applyBorder="1" applyAlignment="1">
      <alignment horizontal="center" vertical="center"/>
      <protection/>
    </xf>
    <xf numFmtId="0" fontId="17" fillId="0" borderId="52" xfId="104" applyFont="1" applyBorder="1" applyAlignment="1">
      <alignment horizontal="center" vertical="center"/>
      <protection/>
    </xf>
    <xf numFmtId="0" fontId="17" fillId="0" borderId="47" xfId="104" applyFont="1" applyBorder="1" applyAlignment="1">
      <alignment horizontal="center" vertical="center"/>
      <protection/>
    </xf>
    <xf numFmtId="0" fontId="17" fillId="0" borderId="48" xfId="104" applyFont="1" applyBorder="1" applyAlignment="1">
      <alignment horizontal="center" vertical="center"/>
      <protection/>
    </xf>
    <xf numFmtId="0" fontId="59" fillId="0" borderId="50" xfId="104" applyFont="1" applyBorder="1" applyAlignment="1">
      <alignment horizontal="center" vertical="center"/>
      <protection/>
    </xf>
    <xf numFmtId="0" fontId="59" fillId="0" borderId="45" xfId="104" applyFont="1" applyBorder="1" applyAlignment="1">
      <alignment horizontal="center" vertical="center"/>
      <protection/>
    </xf>
    <xf numFmtId="0" fontId="59" fillId="0" borderId="51" xfId="104" applyFont="1" applyBorder="1" applyAlignment="1">
      <alignment horizontal="center" vertical="center"/>
      <protection/>
    </xf>
    <xf numFmtId="0" fontId="17" fillId="0" borderId="62" xfId="104" applyFont="1" applyBorder="1" applyAlignment="1">
      <alignment horizontal="center" vertical="center"/>
      <protection/>
    </xf>
    <xf numFmtId="0" fontId="17" fillId="0" borderId="53" xfId="104" applyFont="1" applyBorder="1" applyAlignment="1">
      <alignment horizontal="center" vertical="center"/>
      <protection/>
    </xf>
    <xf numFmtId="0" fontId="110" fillId="0" borderId="47" xfId="116" applyFont="1" applyBorder="1" applyAlignment="1">
      <alignment horizontal="center" vertical="center" textRotation="180" wrapText="1"/>
      <protection/>
    </xf>
    <xf numFmtId="0" fontId="110" fillId="0" borderId="49" xfId="116" applyFont="1" applyBorder="1" applyAlignment="1">
      <alignment horizontal="center" vertical="center" textRotation="180" wrapText="1"/>
      <protection/>
    </xf>
    <xf numFmtId="0" fontId="114" fillId="0" borderId="29" xfId="114" applyFont="1" applyBorder="1" applyAlignment="1">
      <alignment horizontal="center" vertical="center"/>
      <protection/>
    </xf>
    <xf numFmtId="0" fontId="114" fillId="0" borderId="23" xfId="114" applyFont="1" applyBorder="1" applyAlignment="1">
      <alignment horizontal="center" vertical="center"/>
      <protection/>
    </xf>
    <xf numFmtId="0" fontId="114" fillId="0" borderId="32" xfId="114" applyFont="1" applyBorder="1" applyAlignment="1">
      <alignment horizontal="center" vertical="center"/>
      <protection/>
    </xf>
    <xf numFmtId="0" fontId="114" fillId="0" borderId="33" xfId="114" applyFont="1" applyBorder="1" applyAlignment="1">
      <alignment horizontal="center" vertical="center"/>
      <protection/>
    </xf>
    <xf numFmtId="0" fontId="114" fillId="0" borderId="20" xfId="114" applyFont="1" applyBorder="1" applyAlignment="1">
      <alignment horizontal="center" vertical="center"/>
      <protection/>
    </xf>
    <xf numFmtId="0" fontId="114" fillId="0" borderId="34" xfId="114" applyFont="1" applyBorder="1" applyAlignment="1">
      <alignment horizontal="center" vertical="center"/>
      <protection/>
    </xf>
    <xf numFmtId="0" fontId="112" fillId="0" borderId="24" xfId="114" applyFont="1" applyBorder="1" applyAlignment="1">
      <alignment horizontal="center" vertical="center"/>
      <protection/>
    </xf>
    <xf numFmtId="0" fontId="112" fillId="0" borderId="35" xfId="114" applyFont="1" applyBorder="1" applyAlignment="1">
      <alignment horizontal="center" vertical="center"/>
      <protection/>
    </xf>
    <xf numFmtId="0" fontId="114" fillId="0" borderId="24" xfId="114" applyFont="1" applyBorder="1" applyAlignment="1">
      <alignment horizontal="center" vertical="center"/>
      <protection/>
    </xf>
    <xf numFmtId="0" fontId="114" fillId="0" borderId="25" xfId="114" applyFont="1" applyBorder="1" applyAlignment="1">
      <alignment horizontal="center" vertical="center"/>
      <protection/>
    </xf>
    <xf numFmtId="0" fontId="114" fillId="0" borderId="35" xfId="114" applyFont="1" applyBorder="1" applyAlignment="1">
      <alignment horizontal="center" vertical="center"/>
      <protection/>
    </xf>
    <xf numFmtId="0" fontId="108" fillId="0" borderId="24" xfId="114" applyFont="1" applyBorder="1" applyAlignment="1">
      <alignment horizontal="center" vertical="center"/>
      <protection/>
    </xf>
    <xf numFmtId="0" fontId="108" fillId="0" borderId="35" xfId="114" applyFont="1" applyBorder="1" applyAlignment="1">
      <alignment horizontal="center" vertical="center"/>
      <protection/>
    </xf>
    <xf numFmtId="0" fontId="112" fillId="0" borderId="25" xfId="114" applyFont="1" applyBorder="1" applyAlignment="1">
      <alignment horizontal="center" vertical="center"/>
      <protection/>
    </xf>
    <xf numFmtId="0" fontId="111" fillId="0" borderId="24" xfId="114" applyFont="1" applyBorder="1" applyAlignment="1">
      <alignment horizontal="center" vertical="center"/>
      <protection/>
    </xf>
    <xf numFmtId="0" fontId="111" fillId="0" borderId="25" xfId="114" applyFont="1" applyBorder="1" applyAlignment="1">
      <alignment horizontal="center" vertical="center"/>
      <protection/>
    </xf>
    <xf numFmtId="0" fontId="111" fillId="0" borderId="35" xfId="114" applyFont="1" applyBorder="1" applyAlignment="1">
      <alignment horizontal="center" vertical="center"/>
      <protection/>
    </xf>
    <xf numFmtId="0" fontId="112" fillId="0" borderId="19" xfId="114" applyFont="1" applyBorder="1" applyAlignment="1">
      <alignment horizontal="center" vertical="center"/>
      <protection/>
    </xf>
    <xf numFmtId="0" fontId="111" fillId="0" borderId="29" xfId="114" applyFont="1" applyBorder="1" applyAlignment="1">
      <alignment vertical="center"/>
      <protection/>
    </xf>
    <xf numFmtId="0" fontId="111" fillId="0" borderId="23" xfId="114" applyFont="1" applyBorder="1" applyAlignment="1">
      <alignment vertical="center"/>
      <protection/>
    </xf>
    <xf numFmtId="0" fontId="111" fillId="0" borderId="32" xfId="114" applyFont="1" applyBorder="1" applyAlignment="1">
      <alignment vertical="center"/>
      <protection/>
    </xf>
    <xf numFmtId="0" fontId="111" fillId="0" borderId="33" xfId="114" applyFont="1" applyBorder="1" applyAlignment="1">
      <alignment vertical="center"/>
      <protection/>
    </xf>
    <xf numFmtId="0" fontId="111" fillId="0" borderId="20" xfId="114" applyFont="1" applyBorder="1" applyAlignment="1">
      <alignment vertical="center"/>
      <protection/>
    </xf>
    <xf numFmtId="0" fontId="111" fillId="0" borderId="34" xfId="114" applyFont="1" applyBorder="1" applyAlignment="1">
      <alignment vertical="center"/>
      <protection/>
    </xf>
    <xf numFmtId="0" fontId="111" fillId="0" borderId="29" xfId="114" applyFont="1" applyBorder="1" applyAlignment="1">
      <alignment horizontal="left" vertical="center"/>
      <protection/>
    </xf>
    <xf numFmtId="0" fontId="111" fillId="0" borderId="23" xfId="114" applyFont="1" applyBorder="1" applyAlignment="1">
      <alignment horizontal="left" vertical="center"/>
      <protection/>
    </xf>
    <xf numFmtId="0" fontId="111" fillId="0" borderId="32" xfId="114" applyFont="1" applyBorder="1" applyAlignment="1">
      <alignment horizontal="left" vertical="center"/>
      <protection/>
    </xf>
    <xf numFmtId="0" fontId="111" fillId="0" borderId="33" xfId="114" applyFont="1" applyBorder="1" applyAlignment="1">
      <alignment horizontal="left" vertical="center"/>
      <protection/>
    </xf>
    <xf numFmtId="0" fontId="111" fillId="0" borderId="20" xfId="114" applyFont="1" applyBorder="1" applyAlignment="1">
      <alignment horizontal="left" vertical="center"/>
      <protection/>
    </xf>
    <xf numFmtId="0" fontId="111" fillId="0" borderId="34" xfId="114" applyFont="1" applyBorder="1" applyAlignment="1">
      <alignment horizontal="left" vertical="center"/>
      <protection/>
    </xf>
    <xf numFmtId="0" fontId="115" fillId="0" borderId="19" xfId="114" applyFont="1" applyBorder="1" applyAlignment="1">
      <alignment horizontal="center" vertical="center"/>
      <protection/>
    </xf>
    <xf numFmtId="0" fontId="115" fillId="0" borderId="29" xfId="114" applyFont="1" applyBorder="1" applyAlignment="1">
      <alignment horizontal="center" vertical="center"/>
      <protection/>
    </xf>
    <xf numFmtId="0" fontId="115" fillId="0" borderId="23" xfId="114" applyFont="1" applyBorder="1" applyAlignment="1">
      <alignment horizontal="center" vertical="center"/>
      <protection/>
    </xf>
    <xf numFmtId="0" fontId="115" fillId="0" borderId="32" xfId="114" applyFont="1" applyBorder="1" applyAlignment="1">
      <alignment horizontal="center" vertical="center"/>
      <protection/>
    </xf>
    <xf numFmtId="0" fontId="115" fillId="0" borderId="33" xfId="114" applyFont="1" applyBorder="1" applyAlignment="1">
      <alignment horizontal="center" vertical="center"/>
      <protection/>
    </xf>
    <xf numFmtId="0" fontId="115" fillId="0" borderId="20" xfId="114" applyFont="1" applyBorder="1" applyAlignment="1">
      <alignment horizontal="center" vertical="center"/>
      <protection/>
    </xf>
    <xf numFmtId="0" fontId="115" fillId="0" borderId="34" xfId="114" applyFont="1" applyBorder="1" applyAlignment="1">
      <alignment horizontal="center" vertical="center"/>
      <protection/>
    </xf>
    <xf numFmtId="178" fontId="112" fillId="0" borderId="29" xfId="114" applyNumberFormat="1" applyFont="1" applyBorder="1" applyAlignment="1">
      <alignment horizontal="left" vertical="center"/>
      <protection/>
    </xf>
    <xf numFmtId="178" fontId="112" fillId="0" borderId="23" xfId="114" applyNumberFormat="1" applyFont="1" applyBorder="1" applyAlignment="1">
      <alignment horizontal="left" vertical="center"/>
      <protection/>
    </xf>
    <xf numFmtId="178" fontId="112" fillId="0" borderId="32" xfId="114" applyNumberFormat="1" applyFont="1" applyBorder="1" applyAlignment="1">
      <alignment horizontal="left" vertical="center"/>
      <protection/>
    </xf>
    <xf numFmtId="178" fontId="112" fillId="0" borderId="33" xfId="114" applyNumberFormat="1" applyFont="1" applyBorder="1" applyAlignment="1">
      <alignment horizontal="left" vertical="center"/>
      <protection/>
    </xf>
    <xf numFmtId="178" fontId="112" fillId="0" borderId="20" xfId="114" applyNumberFormat="1" applyFont="1" applyBorder="1" applyAlignment="1">
      <alignment horizontal="left" vertical="center"/>
      <protection/>
    </xf>
    <xf numFmtId="178" fontId="112" fillId="0" borderId="34" xfId="114" applyNumberFormat="1" applyFont="1" applyBorder="1" applyAlignment="1">
      <alignment horizontal="left" vertical="center"/>
      <protection/>
    </xf>
    <xf numFmtId="209" fontId="114" fillId="0" borderId="24" xfId="114" applyNumberFormat="1" applyFont="1" applyBorder="1" applyAlignment="1">
      <alignment horizontal="center" vertical="center"/>
      <protection/>
    </xf>
    <xf numFmtId="209" fontId="114" fillId="0" borderId="25" xfId="114" applyNumberFormat="1" applyFont="1" applyBorder="1" applyAlignment="1">
      <alignment horizontal="center" vertical="center"/>
      <protection/>
    </xf>
    <xf numFmtId="209" fontId="114" fillId="0" borderId="35" xfId="114" applyNumberFormat="1" applyFont="1" applyBorder="1" applyAlignment="1">
      <alignment horizontal="center" vertical="center"/>
      <protection/>
    </xf>
    <xf numFmtId="0" fontId="65" fillId="51" borderId="55" xfId="103" applyFont="1" applyFill="1" applyBorder="1" applyAlignment="1" applyProtection="1">
      <alignment horizontal="center"/>
      <protection/>
    </xf>
    <xf numFmtId="0" fontId="65" fillId="51" borderId="36" xfId="103" applyFont="1" applyFill="1" applyBorder="1" applyAlignment="1" applyProtection="1">
      <alignment horizontal="center"/>
      <protection/>
    </xf>
    <xf numFmtId="0" fontId="12" fillId="31" borderId="22" xfId="103" applyFont="1" applyFill="1" applyBorder="1" applyAlignment="1" applyProtection="1">
      <alignment horizontal="left" indent="2"/>
      <protection/>
    </xf>
    <xf numFmtId="0" fontId="65" fillId="31" borderId="0" xfId="103" applyFont="1" applyFill="1" applyBorder="1" applyAlignment="1" applyProtection="1">
      <alignment horizontal="justify" vertical="top" wrapText="1"/>
      <protection/>
    </xf>
    <xf numFmtId="0" fontId="66" fillId="31" borderId="0" xfId="103" applyFont="1" applyFill="1" applyBorder="1" applyAlignment="1" applyProtection="1">
      <alignment horizontal="justify" vertical="top" wrapText="1"/>
      <protection/>
    </xf>
    <xf numFmtId="0" fontId="67" fillId="0" borderId="0" xfId="103" applyFont="1" applyAlignment="1">
      <alignment horizontal="left" vertical="center" wrapText="1"/>
      <protection/>
    </xf>
    <xf numFmtId="0" fontId="65" fillId="51" borderId="50" xfId="103" applyFont="1" applyFill="1" applyBorder="1" applyAlignment="1" applyProtection="1">
      <alignment horizontal="center"/>
      <protection/>
    </xf>
    <xf numFmtId="0" fontId="65" fillId="51" borderId="45" xfId="103" applyFont="1" applyFill="1" applyBorder="1" applyAlignment="1" applyProtection="1">
      <alignment horizontal="center"/>
      <protection/>
    </xf>
    <xf numFmtId="0" fontId="65" fillId="51" borderId="51" xfId="103" applyFont="1" applyFill="1" applyBorder="1" applyAlignment="1" applyProtection="1">
      <alignment horizontal="center"/>
      <protection/>
    </xf>
    <xf numFmtId="0" fontId="11" fillId="31" borderId="62" xfId="103" applyFont="1" applyFill="1" applyBorder="1" applyAlignment="1" applyProtection="1">
      <alignment horizontal="center" vertical="center"/>
      <protection/>
    </xf>
    <xf numFmtId="0" fontId="11" fillId="31" borderId="53" xfId="103" applyFont="1" applyFill="1" applyBorder="1" applyAlignment="1" applyProtection="1">
      <alignment horizontal="center" vertical="center"/>
      <protection/>
    </xf>
    <xf numFmtId="0" fontId="11" fillId="31" borderId="63" xfId="103" applyFont="1" applyFill="1" applyBorder="1" applyAlignment="1" applyProtection="1">
      <alignment horizontal="center" vertical="center"/>
      <protection/>
    </xf>
    <xf numFmtId="0" fontId="11" fillId="31" borderId="46" xfId="103" applyFont="1" applyFill="1" applyBorder="1" applyAlignment="1" applyProtection="1">
      <alignment horizontal="center" vertical="center"/>
      <protection/>
    </xf>
    <xf numFmtId="0" fontId="11" fillId="31" borderId="66" xfId="103" applyFont="1" applyFill="1" applyBorder="1" applyAlignment="1" applyProtection="1">
      <alignment horizontal="center"/>
      <protection/>
    </xf>
    <xf numFmtId="0" fontId="11" fillId="31" borderId="70" xfId="103" applyFont="1" applyFill="1" applyBorder="1" applyAlignment="1" applyProtection="1">
      <alignment horizontal="left" vertical="center"/>
      <protection/>
    </xf>
    <xf numFmtId="0" fontId="11" fillId="31" borderId="52" xfId="103" applyFont="1" applyFill="1" applyBorder="1" applyAlignment="1" applyProtection="1">
      <alignment horizontal="left" vertical="center"/>
      <protection/>
    </xf>
    <xf numFmtId="0" fontId="11" fillId="31" borderId="46" xfId="103" applyFont="1" applyFill="1" applyBorder="1" applyAlignment="1" applyProtection="1">
      <alignment horizontal="center" vertical="top"/>
      <protection/>
    </xf>
    <xf numFmtId="0" fontId="11" fillId="31" borderId="24" xfId="103" applyFont="1" applyFill="1" applyBorder="1" applyAlignment="1" applyProtection="1">
      <alignment horizontal="left" indent="1"/>
      <protection/>
    </xf>
    <xf numFmtId="0" fontId="11" fillId="31" borderId="25" xfId="103" applyFont="1" applyFill="1" applyBorder="1" applyAlignment="1" applyProtection="1">
      <alignment horizontal="left" indent="1"/>
      <protection/>
    </xf>
    <xf numFmtId="0" fontId="11" fillId="31" borderId="35" xfId="103" applyFont="1" applyFill="1" applyBorder="1" applyAlignment="1" applyProtection="1">
      <alignment horizontal="left" indent="1"/>
      <protection/>
    </xf>
    <xf numFmtId="0" fontId="11" fillId="31" borderId="29" xfId="103" applyFont="1" applyFill="1" applyBorder="1" applyAlignment="1" applyProtection="1">
      <alignment horizontal="left" indent="1"/>
      <protection/>
    </xf>
    <xf numFmtId="0" fontId="11" fillId="31" borderId="23" xfId="103" applyFont="1" applyFill="1" applyBorder="1" applyAlignment="1" applyProtection="1">
      <alignment horizontal="left" indent="1"/>
      <protection/>
    </xf>
    <xf numFmtId="0" fontId="11" fillId="31" borderId="32" xfId="103" applyFont="1" applyFill="1" applyBorder="1" applyAlignment="1" applyProtection="1">
      <alignment horizontal="left" indent="1"/>
      <protection/>
    </xf>
    <xf numFmtId="0" fontId="11" fillId="31" borderId="29" xfId="103" applyFont="1" applyFill="1" applyBorder="1" applyAlignment="1" applyProtection="1">
      <alignment horizontal="center" vertical="center"/>
      <protection/>
    </xf>
    <xf numFmtId="0" fontId="11" fillId="31" borderId="32" xfId="103" applyFont="1" applyFill="1" applyBorder="1" applyAlignment="1" applyProtection="1">
      <alignment horizontal="center" vertical="center"/>
      <protection/>
    </xf>
    <xf numFmtId="0" fontId="11" fillId="31" borderId="28" xfId="103" applyFont="1" applyFill="1" applyBorder="1" applyAlignment="1" applyProtection="1">
      <alignment horizontal="center" vertical="center"/>
      <protection/>
    </xf>
    <xf numFmtId="0" fontId="11" fillId="31" borderId="27" xfId="103" applyFont="1" applyFill="1" applyBorder="1" applyAlignment="1" applyProtection="1">
      <alignment horizontal="center" vertical="center"/>
      <protection/>
    </xf>
    <xf numFmtId="0" fontId="11" fillId="31" borderId="33" xfId="103" applyFont="1" applyFill="1" applyBorder="1" applyAlignment="1" applyProtection="1">
      <alignment horizontal="center" vertical="center"/>
      <protection/>
    </xf>
    <xf numFmtId="0" fontId="11" fillId="31" borderId="34" xfId="103" applyFont="1" applyFill="1" applyBorder="1" applyAlignment="1" applyProtection="1">
      <alignment horizontal="center" vertical="center"/>
      <protection/>
    </xf>
    <xf numFmtId="0" fontId="11" fillId="0" borderId="0" xfId="103" applyFont="1" applyFill="1" applyAlignment="1" applyProtection="1">
      <alignment horizontal="left" wrapText="1"/>
      <protection/>
    </xf>
    <xf numFmtId="0" fontId="63" fillId="33" borderId="50" xfId="103" applyFont="1" applyFill="1" applyBorder="1" applyAlignment="1" applyProtection="1">
      <alignment horizontal="center"/>
      <protection/>
    </xf>
    <xf numFmtId="0" fontId="63" fillId="33" borderId="45" xfId="103" applyFont="1" applyFill="1" applyBorder="1" applyAlignment="1" applyProtection="1">
      <alignment horizontal="center"/>
      <protection/>
    </xf>
    <xf numFmtId="0" fontId="63" fillId="33" borderId="51" xfId="103" applyFont="1" applyFill="1" applyBorder="1" applyAlignment="1" applyProtection="1">
      <alignment horizontal="center"/>
      <protection/>
    </xf>
    <xf numFmtId="0" fontId="64" fillId="0" borderId="50" xfId="103" applyFont="1" applyFill="1" applyBorder="1" applyAlignment="1" applyProtection="1">
      <alignment horizontal="center" vertical="center" wrapText="1"/>
      <protection/>
    </xf>
    <xf numFmtId="0" fontId="64" fillId="0" borderId="45" xfId="103" applyFont="1" applyFill="1" applyBorder="1" applyAlignment="1" applyProtection="1">
      <alignment horizontal="center" vertical="center" wrapText="1"/>
      <protection/>
    </xf>
    <xf numFmtId="0" fontId="12" fillId="16" borderId="45" xfId="103" applyFont="1" applyFill="1" applyBorder="1" applyAlignment="1" applyProtection="1">
      <alignment horizontal="center" vertical="center" wrapText="1"/>
      <protection locked="0"/>
    </xf>
    <xf numFmtId="0" fontId="12" fillId="16" borderId="51" xfId="103" applyFont="1" applyFill="1" applyBorder="1" applyAlignment="1" applyProtection="1">
      <alignment horizontal="center" vertical="center" wrapText="1"/>
      <protection locked="0"/>
    </xf>
    <xf numFmtId="0" fontId="65" fillId="33" borderId="55" xfId="103" applyFont="1" applyFill="1" applyBorder="1" applyAlignment="1" applyProtection="1">
      <alignment horizontal="center"/>
      <protection/>
    </xf>
    <xf numFmtId="0" fontId="65" fillId="33" borderId="36" xfId="103" applyFont="1" applyFill="1" applyBorder="1" applyAlignment="1" applyProtection="1">
      <alignment horizontal="center"/>
      <protection/>
    </xf>
    <xf numFmtId="0" fontId="11" fillId="31" borderId="71" xfId="103" applyFont="1" applyFill="1" applyBorder="1" applyAlignment="1" applyProtection="1">
      <alignment horizontal="left" indent="1"/>
      <protection/>
    </xf>
    <xf numFmtId="0" fontId="11" fillId="31" borderId="66" xfId="103" applyFont="1" applyFill="1" applyBorder="1" applyAlignment="1" applyProtection="1">
      <alignment horizontal="left" indent="1"/>
      <protection/>
    </xf>
    <xf numFmtId="0" fontId="11" fillId="31" borderId="67" xfId="103" applyFont="1" applyFill="1" applyBorder="1" applyAlignment="1" applyProtection="1">
      <alignment horizontal="left" indent="1"/>
      <protection/>
    </xf>
    <xf numFmtId="0" fontId="11" fillId="16" borderId="19" xfId="103" applyFont="1" applyFill="1" applyBorder="1" applyAlignment="1" applyProtection="1">
      <alignment horizontal="left"/>
      <protection locked="0"/>
    </xf>
    <xf numFmtId="0" fontId="11" fillId="16" borderId="19" xfId="103" applyFont="1" applyFill="1" applyBorder="1" applyAlignment="1" applyProtection="1">
      <alignment/>
      <protection locked="0"/>
    </xf>
    <xf numFmtId="0" fontId="11" fillId="16" borderId="24" xfId="103" applyFont="1" applyFill="1" applyBorder="1" applyAlignment="1" applyProtection="1">
      <alignment/>
      <protection locked="0"/>
    </xf>
    <xf numFmtId="0" fontId="11" fillId="16" borderId="35" xfId="103" applyFont="1" applyFill="1" applyBorder="1" applyAlignment="1" applyProtection="1">
      <alignment/>
      <protection locked="0"/>
    </xf>
    <xf numFmtId="0" fontId="11" fillId="16" borderId="25" xfId="103" applyFont="1" applyFill="1" applyBorder="1" applyAlignment="1" applyProtection="1">
      <alignment horizontal="left"/>
      <protection locked="0"/>
    </xf>
    <xf numFmtId="0" fontId="11" fillId="16" borderId="35" xfId="103" applyFont="1" applyFill="1" applyBorder="1" applyAlignment="1" applyProtection="1">
      <alignment horizontal="left"/>
      <protection locked="0"/>
    </xf>
    <xf numFmtId="0" fontId="11" fillId="16" borderId="24" xfId="103" applyFont="1" applyFill="1" applyBorder="1" applyAlignment="1" applyProtection="1">
      <alignment wrapText="1"/>
      <protection locked="0"/>
    </xf>
    <xf numFmtId="0" fontId="11" fillId="16" borderId="35" xfId="103" applyFont="1" applyFill="1" applyBorder="1" applyAlignment="1" applyProtection="1">
      <alignment wrapText="1"/>
      <protection locked="0"/>
    </xf>
    <xf numFmtId="14" fontId="11" fillId="16" borderId="24" xfId="103" applyNumberFormat="1" applyFont="1" applyFill="1" applyBorder="1" applyAlignment="1" applyProtection="1">
      <alignment horizontal="left"/>
      <protection locked="0"/>
    </xf>
    <xf numFmtId="0" fontId="11" fillId="52" borderId="0" xfId="103" applyFont="1" applyFill="1" applyBorder="1" applyAlignment="1" applyProtection="1">
      <alignment horizontal="center"/>
      <protection/>
    </xf>
    <xf numFmtId="14" fontId="11" fillId="31" borderId="0" xfId="103" applyNumberFormat="1" applyFont="1" applyFill="1" applyAlignment="1" applyProtection="1">
      <alignment horizontal="right"/>
      <protection/>
    </xf>
    <xf numFmtId="0" fontId="11" fillId="31" borderId="23" xfId="103" applyFont="1" applyFill="1" applyBorder="1" applyAlignment="1" applyProtection="1">
      <alignment horizontal="center"/>
      <protection/>
    </xf>
    <xf numFmtId="0" fontId="65" fillId="51" borderId="37" xfId="103" applyFont="1" applyFill="1" applyBorder="1" applyAlignment="1" applyProtection="1">
      <alignment horizontal="center"/>
      <protection/>
    </xf>
    <xf numFmtId="199" fontId="66" fillId="31" borderId="38" xfId="103" applyNumberFormat="1" applyFont="1" applyFill="1" applyBorder="1" applyAlignment="1" applyProtection="1">
      <alignment horizontal="center" wrapText="1"/>
      <protection/>
    </xf>
    <xf numFmtId="199" fontId="66" fillId="31" borderId="0" xfId="103" applyNumberFormat="1" applyFont="1" applyFill="1" applyBorder="1" applyAlignment="1" applyProtection="1">
      <alignment horizontal="center" wrapText="1"/>
      <protection/>
    </xf>
    <xf numFmtId="0" fontId="12" fillId="31" borderId="72" xfId="103" applyFont="1" applyFill="1" applyBorder="1" applyAlignment="1" applyProtection="1">
      <alignment horizontal="left" indent="2"/>
      <protection/>
    </xf>
    <xf numFmtId="0" fontId="12" fillId="31" borderId="73" xfId="103" applyFont="1" applyFill="1" applyBorder="1" applyAlignment="1" applyProtection="1">
      <alignment horizontal="left" indent="2"/>
      <protection/>
    </xf>
    <xf numFmtId="0" fontId="11" fillId="52" borderId="0" xfId="103" applyFont="1" applyFill="1" applyBorder="1" applyAlignment="1" applyProtection="1">
      <alignment horizontal="center" vertical="center"/>
      <protection/>
    </xf>
    <xf numFmtId="0" fontId="68" fillId="33" borderId="50" xfId="103" applyFont="1" applyFill="1" applyBorder="1" applyAlignment="1" applyProtection="1">
      <alignment horizontal="center" wrapText="1"/>
      <protection/>
    </xf>
    <xf numFmtId="0" fontId="68" fillId="33" borderId="45" xfId="103" applyFont="1" applyFill="1" applyBorder="1" applyAlignment="1" applyProtection="1">
      <alignment horizontal="center" wrapText="1"/>
      <protection/>
    </xf>
    <xf numFmtId="0" fontId="68" fillId="33" borderId="51" xfId="103" applyFont="1" applyFill="1" applyBorder="1" applyAlignment="1" applyProtection="1">
      <alignment horizontal="center" wrapText="1"/>
      <protection/>
    </xf>
    <xf numFmtId="0" fontId="12" fillId="31" borderId="45" xfId="103" applyFont="1" applyFill="1" applyBorder="1" applyAlignment="1" applyProtection="1">
      <alignment horizontal="center" vertical="center" wrapText="1"/>
      <protection/>
    </xf>
    <xf numFmtId="0" fontId="12" fillId="31" borderId="51" xfId="103" applyFont="1" applyFill="1" applyBorder="1" applyAlignment="1" applyProtection="1">
      <alignment horizontal="center" vertical="center" wrapText="1"/>
      <protection/>
    </xf>
    <xf numFmtId="0" fontId="11" fillId="31" borderId="33" xfId="103" applyFont="1" applyFill="1" applyBorder="1" applyAlignment="1" applyProtection="1">
      <alignment horizontal="left" indent="1"/>
      <protection/>
    </xf>
    <xf numFmtId="0" fontId="11" fillId="31" borderId="34" xfId="103" applyFont="1" applyFill="1" applyBorder="1" applyAlignment="1" applyProtection="1">
      <alignment horizontal="left" indent="1"/>
      <protection/>
    </xf>
    <xf numFmtId="0" fontId="10" fillId="31" borderId="0" xfId="103" applyFont="1" applyFill="1" applyAlignment="1" applyProtection="1">
      <alignment horizontal="center"/>
      <protection/>
    </xf>
    <xf numFmtId="0" fontId="58" fillId="31" borderId="0" xfId="103" applyFont="1" applyFill="1" applyAlignment="1" applyProtection="1">
      <alignment horizontal="justify" vertical="top" wrapText="1"/>
      <protection/>
    </xf>
    <xf numFmtId="0" fontId="58" fillId="31" borderId="0" xfId="103" applyFont="1" applyFill="1" applyAlignment="1" applyProtection="1">
      <alignment horizontal="justify"/>
      <protection/>
    </xf>
    <xf numFmtId="0" fontId="58" fillId="31" borderId="0" xfId="103" applyFont="1" applyFill="1" applyAlignment="1" applyProtection="1">
      <alignment horizontal="left"/>
      <protection/>
    </xf>
    <xf numFmtId="0" fontId="58" fillId="31" borderId="0" xfId="103" applyFont="1" applyFill="1" applyAlignment="1" applyProtection="1">
      <alignment horizontal="left" wrapText="1"/>
      <protection/>
    </xf>
    <xf numFmtId="0" fontId="9" fillId="16" borderId="25" xfId="103" applyFill="1" applyBorder="1" applyAlignment="1" applyProtection="1">
      <alignment horizontal="left"/>
      <protection locked="0"/>
    </xf>
    <xf numFmtId="0" fontId="9" fillId="16" borderId="35" xfId="103" applyFill="1" applyBorder="1" applyAlignment="1" applyProtection="1">
      <alignment horizontal="left"/>
      <protection locked="0"/>
    </xf>
    <xf numFmtId="0" fontId="9" fillId="16" borderId="24" xfId="103" applyFill="1" applyBorder="1" applyProtection="1">
      <alignment/>
      <protection locked="0"/>
    </xf>
    <xf numFmtId="0" fontId="9" fillId="16" borderId="35" xfId="103" applyFill="1" applyBorder="1" applyProtection="1">
      <alignment/>
      <protection locked="0"/>
    </xf>
    <xf numFmtId="0" fontId="9" fillId="16" borderId="24" xfId="103" applyFill="1" applyBorder="1" applyAlignment="1" applyProtection="1">
      <alignment wrapText="1"/>
      <protection locked="0"/>
    </xf>
    <xf numFmtId="0" fontId="9" fillId="16" borderId="35" xfId="103" applyFill="1" applyBorder="1" applyAlignment="1" applyProtection="1">
      <alignment wrapText="1"/>
      <protection locked="0"/>
    </xf>
    <xf numFmtId="14" fontId="9" fillId="16" borderId="24" xfId="103" applyNumberFormat="1" applyFill="1" applyBorder="1" applyAlignment="1" applyProtection="1">
      <alignment horizontal="left"/>
      <protection locked="0"/>
    </xf>
    <xf numFmtId="0" fontId="9" fillId="16" borderId="19" xfId="103" applyFill="1" applyBorder="1" applyProtection="1">
      <alignment/>
      <protection locked="0"/>
    </xf>
    <xf numFmtId="0" fontId="9" fillId="16" borderId="19" xfId="103" applyFill="1" applyBorder="1" applyAlignment="1" applyProtection="1">
      <alignment horizontal="left"/>
      <protection locked="0"/>
    </xf>
    <xf numFmtId="0" fontId="9" fillId="0" borderId="0" xfId="103" applyAlignment="1">
      <alignment horizontal="left" wrapText="1"/>
      <protection/>
    </xf>
    <xf numFmtId="0" fontId="22" fillId="33" borderId="50" xfId="103" applyFont="1" applyFill="1" applyBorder="1" applyAlignment="1">
      <alignment horizontal="center"/>
      <protection/>
    </xf>
    <xf numFmtId="0" fontId="22" fillId="33" borderId="45" xfId="103" applyFont="1" applyFill="1" applyBorder="1" applyAlignment="1">
      <alignment horizontal="center"/>
      <protection/>
    </xf>
    <xf numFmtId="0" fontId="22" fillId="33" borderId="51" xfId="103" applyFont="1" applyFill="1" applyBorder="1" applyAlignment="1">
      <alignment horizontal="center"/>
      <protection/>
    </xf>
    <xf numFmtId="0" fontId="23" fillId="0" borderId="50" xfId="103" applyFont="1" applyBorder="1" applyAlignment="1">
      <alignment horizontal="center" vertical="center" wrapText="1"/>
      <protection/>
    </xf>
    <xf numFmtId="0" fontId="23" fillId="0" borderId="45" xfId="103" applyFont="1" applyBorder="1" applyAlignment="1">
      <alignment horizontal="center" vertical="center" wrapText="1"/>
      <protection/>
    </xf>
    <xf numFmtId="0" fontId="19" fillId="16" borderId="45" xfId="103" applyFont="1" applyFill="1" applyBorder="1" applyAlignment="1" applyProtection="1">
      <alignment horizontal="center" vertical="center" wrapText="1"/>
      <protection locked="0"/>
    </xf>
    <xf numFmtId="0" fontId="19" fillId="16" borderId="51" xfId="103" applyFont="1" applyFill="1" applyBorder="1" applyAlignment="1" applyProtection="1">
      <alignment horizontal="center" vertical="center" wrapText="1"/>
      <protection locked="0"/>
    </xf>
    <xf numFmtId="0" fontId="24" fillId="33" borderId="55" xfId="103" applyFont="1" applyFill="1" applyBorder="1" applyAlignment="1">
      <alignment horizontal="center"/>
      <protection/>
    </xf>
    <xf numFmtId="0" fontId="24" fillId="33" borderId="36" xfId="103" applyFont="1" applyFill="1" applyBorder="1" applyAlignment="1">
      <alignment horizontal="center"/>
      <protection/>
    </xf>
    <xf numFmtId="0" fontId="9" fillId="31" borderId="71" xfId="103" applyFill="1" applyBorder="1" applyAlignment="1">
      <alignment horizontal="left" indent="1"/>
      <protection/>
    </xf>
    <xf numFmtId="0" fontId="9" fillId="31" borderId="66" xfId="103" applyFill="1" applyBorder="1" applyAlignment="1">
      <alignment horizontal="left" indent="1"/>
      <protection/>
    </xf>
    <xf numFmtId="0" fontId="9" fillId="31" borderId="67" xfId="103" applyFill="1" applyBorder="1" applyAlignment="1">
      <alignment horizontal="left" indent="1"/>
      <protection/>
    </xf>
    <xf numFmtId="0" fontId="9" fillId="31" borderId="24" xfId="103" applyFill="1" applyBorder="1" applyAlignment="1">
      <alignment horizontal="left" indent="1"/>
      <protection/>
    </xf>
    <xf numFmtId="0" fontId="9" fillId="31" borderId="25" xfId="103" applyFill="1" applyBorder="1" applyAlignment="1">
      <alignment horizontal="left" indent="1"/>
      <protection/>
    </xf>
    <xf numFmtId="0" fontId="9" fillId="31" borderId="35" xfId="103" applyFill="1" applyBorder="1" applyAlignment="1">
      <alignment horizontal="left" indent="1"/>
      <protection/>
    </xf>
    <xf numFmtId="0" fontId="9" fillId="31" borderId="29" xfId="103" applyFill="1" applyBorder="1" applyAlignment="1">
      <alignment horizontal="left" indent="1"/>
      <protection/>
    </xf>
    <xf numFmtId="0" fontId="9" fillId="31" borderId="23" xfId="103" applyFill="1" applyBorder="1" applyAlignment="1">
      <alignment horizontal="left" indent="1"/>
      <protection/>
    </xf>
    <xf numFmtId="0" fontId="9" fillId="31" borderId="32" xfId="103" applyFill="1" applyBorder="1" applyAlignment="1">
      <alignment horizontal="left" indent="1"/>
      <protection/>
    </xf>
    <xf numFmtId="0" fontId="9" fillId="31" borderId="29" xfId="103" applyFill="1" applyBorder="1" applyAlignment="1">
      <alignment horizontal="center" vertical="center"/>
      <protection/>
    </xf>
    <xf numFmtId="0" fontId="9" fillId="31" borderId="32" xfId="103" applyFill="1" applyBorder="1" applyAlignment="1">
      <alignment horizontal="center" vertical="center"/>
      <protection/>
    </xf>
    <xf numFmtId="0" fontId="9" fillId="31" borderId="28" xfId="103" applyFill="1" applyBorder="1" applyAlignment="1">
      <alignment horizontal="center" vertical="center"/>
      <protection/>
    </xf>
    <xf numFmtId="0" fontId="9" fillId="31" borderId="27" xfId="103" applyFill="1" applyBorder="1" applyAlignment="1">
      <alignment horizontal="center" vertical="center"/>
      <protection/>
    </xf>
    <xf numFmtId="0" fontId="9" fillId="31" borderId="33" xfId="103" applyFill="1" applyBorder="1" applyAlignment="1">
      <alignment horizontal="center" vertical="center"/>
      <protection/>
    </xf>
    <xf numFmtId="0" fontId="9" fillId="31" borderId="34" xfId="103" applyFill="1" applyBorder="1" applyAlignment="1">
      <alignment horizontal="center" vertical="center"/>
      <protection/>
    </xf>
    <xf numFmtId="0" fontId="24" fillId="51" borderId="50" xfId="103" applyFont="1" applyFill="1" applyBorder="1" applyAlignment="1">
      <alignment horizontal="center"/>
      <protection/>
    </xf>
    <xf numFmtId="0" fontId="24" fillId="51" borderId="45" xfId="103" applyFont="1" applyFill="1" applyBorder="1" applyAlignment="1">
      <alignment horizontal="center"/>
      <protection/>
    </xf>
    <xf numFmtId="0" fontId="24" fillId="51" borderId="51" xfId="103" applyFont="1" applyFill="1" applyBorder="1" applyAlignment="1">
      <alignment horizontal="center"/>
      <protection/>
    </xf>
    <xf numFmtId="0" fontId="9" fillId="31" borderId="62" xfId="103" applyFill="1" applyBorder="1" applyAlignment="1">
      <alignment horizontal="center" vertical="center"/>
      <protection/>
    </xf>
    <xf numFmtId="0" fontId="9" fillId="31" borderId="53" xfId="103" applyFill="1" applyBorder="1" applyAlignment="1">
      <alignment horizontal="center" vertical="center"/>
      <protection/>
    </xf>
    <xf numFmtId="0" fontId="9" fillId="31" borderId="63" xfId="103" applyFill="1" applyBorder="1" applyAlignment="1">
      <alignment horizontal="center" vertical="center"/>
      <protection/>
    </xf>
    <xf numFmtId="0" fontId="9" fillId="31" borderId="46" xfId="103" applyFill="1" applyBorder="1" applyAlignment="1">
      <alignment horizontal="center" vertical="center"/>
      <protection/>
    </xf>
    <xf numFmtId="0" fontId="9" fillId="31" borderId="66" xfId="103" applyFill="1" applyBorder="1" applyAlignment="1">
      <alignment horizontal="center"/>
      <protection/>
    </xf>
    <xf numFmtId="0" fontId="9" fillId="31" borderId="70" xfId="103" applyFill="1" applyBorder="1" applyAlignment="1">
      <alignment horizontal="left" vertical="center"/>
      <protection/>
    </xf>
    <xf numFmtId="0" fontId="9" fillId="31" borderId="52" xfId="103" applyFill="1" applyBorder="1" applyAlignment="1">
      <alignment horizontal="left" vertical="center"/>
      <protection/>
    </xf>
    <xf numFmtId="0" fontId="9" fillId="31" borderId="46" xfId="103" applyFill="1" applyBorder="1" applyAlignment="1">
      <alignment horizontal="center" vertical="top"/>
      <protection/>
    </xf>
    <xf numFmtId="0" fontId="24" fillId="51" borderId="55" xfId="103" applyFont="1" applyFill="1" applyBorder="1" applyAlignment="1">
      <alignment horizontal="center"/>
      <protection/>
    </xf>
    <xf numFmtId="0" fontId="24" fillId="51" borderId="36" xfId="103" applyFont="1" applyFill="1" applyBorder="1" applyAlignment="1">
      <alignment horizontal="center"/>
      <protection/>
    </xf>
    <xf numFmtId="0" fontId="19" fillId="31" borderId="22" xfId="103" applyFont="1" applyFill="1" applyBorder="1" applyAlignment="1">
      <alignment horizontal="left" indent="2"/>
      <protection/>
    </xf>
    <xf numFmtId="0" fontId="24" fillId="31" borderId="0" xfId="103" applyFont="1" applyFill="1" applyAlignment="1">
      <alignment horizontal="justify" vertical="top" wrapText="1"/>
      <protection/>
    </xf>
    <xf numFmtId="0" fontId="26" fillId="31" borderId="0" xfId="103" applyFont="1" applyFill="1" applyAlignment="1">
      <alignment horizontal="justify" vertical="top" wrapText="1"/>
      <protection/>
    </xf>
    <xf numFmtId="0" fontId="27" fillId="0" borderId="0" xfId="103" applyFont="1" applyAlignment="1">
      <alignment horizontal="left" vertical="center" wrapText="1"/>
      <protection/>
    </xf>
    <xf numFmtId="0" fontId="28" fillId="31" borderId="0" xfId="103" applyFont="1" applyFill="1" applyAlignment="1">
      <alignment horizontal="center"/>
      <protection/>
    </xf>
    <xf numFmtId="0" fontId="30" fillId="31" borderId="0" xfId="103" applyFont="1" applyFill="1" applyAlignment="1">
      <alignment horizontal="justify" vertical="top" wrapText="1"/>
      <protection/>
    </xf>
    <xf numFmtId="0" fontId="30" fillId="31" borderId="0" xfId="103" applyFont="1" applyFill="1" applyAlignment="1">
      <alignment horizontal="justify"/>
      <protection/>
    </xf>
    <xf numFmtId="0" fontId="30" fillId="31" borderId="0" xfId="103" applyFont="1" applyFill="1" applyAlignment="1">
      <alignment horizontal="left"/>
      <protection/>
    </xf>
    <xf numFmtId="0" fontId="30" fillId="31" borderId="0" xfId="103" applyFont="1" applyFill="1" applyAlignment="1">
      <alignment horizontal="left" wrapText="1"/>
      <protection/>
    </xf>
    <xf numFmtId="0" fontId="31" fillId="33" borderId="50" xfId="103" applyFont="1" applyFill="1" applyBorder="1" applyAlignment="1">
      <alignment horizontal="center" wrapText="1"/>
      <protection/>
    </xf>
    <xf numFmtId="0" fontId="31" fillId="33" borderId="45" xfId="103" applyFont="1" applyFill="1" applyBorder="1" applyAlignment="1">
      <alignment horizontal="center" wrapText="1"/>
      <protection/>
    </xf>
    <xf numFmtId="0" fontId="31" fillId="33" borderId="51" xfId="103" applyFont="1" applyFill="1" applyBorder="1" applyAlignment="1">
      <alignment horizontal="center" wrapText="1"/>
      <protection/>
    </xf>
    <xf numFmtId="0" fontId="33" fillId="0" borderId="50" xfId="103" applyFont="1" applyBorder="1" applyAlignment="1">
      <alignment horizontal="center" vertical="center" wrapText="1"/>
      <protection/>
    </xf>
    <xf numFmtId="0" fontId="33" fillId="0" borderId="45" xfId="103" applyFont="1" applyBorder="1" applyAlignment="1">
      <alignment horizontal="center" vertical="center" wrapText="1"/>
      <protection/>
    </xf>
    <xf numFmtId="0" fontId="34" fillId="31" borderId="45" xfId="103" applyFont="1" applyFill="1" applyBorder="1" applyAlignment="1">
      <alignment horizontal="center" vertical="center" wrapText="1"/>
      <protection/>
    </xf>
    <xf numFmtId="0" fontId="34" fillId="31" borderId="51" xfId="103" applyFont="1" applyFill="1" applyBorder="1" applyAlignment="1">
      <alignment horizontal="center" vertical="center" wrapText="1"/>
      <protection/>
    </xf>
    <xf numFmtId="0" fontId="35" fillId="33" borderId="55" xfId="103" applyFont="1" applyFill="1" applyBorder="1" applyAlignment="1">
      <alignment horizontal="center"/>
      <protection/>
    </xf>
    <xf numFmtId="0" fontId="35" fillId="33" borderId="36" xfId="103" applyFont="1" applyFill="1" applyBorder="1" applyAlignment="1">
      <alignment horizontal="center"/>
      <protection/>
    </xf>
    <xf numFmtId="0" fontId="29" fillId="31" borderId="33" xfId="103" applyFont="1" applyFill="1" applyBorder="1" applyAlignment="1">
      <alignment horizontal="left" indent="1"/>
      <protection/>
    </xf>
    <xf numFmtId="0" fontId="29" fillId="31" borderId="34" xfId="103" applyFont="1" applyFill="1" applyBorder="1" applyAlignment="1">
      <alignment horizontal="left" indent="1"/>
      <protection/>
    </xf>
    <xf numFmtId="0" fontId="29" fillId="31" borderId="24" xfId="103" applyFont="1" applyFill="1" applyBorder="1" applyAlignment="1">
      <alignment horizontal="left" indent="1"/>
      <protection/>
    </xf>
    <xf numFmtId="0" fontId="29" fillId="31" borderId="35" xfId="103" applyFont="1" applyFill="1" applyBorder="1" applyAlignment="1">
      <alignment horizontal="left" indent="1"/>
      <protection/>
    </xf>
    <xf numFmtId="0" fontId="29" fillId="52" borderId="0" xfId="103" applyFont="1" applyFill="1" applyAlignment="1">
      <alignment horizontal="center" vertical="center"/>
      <protection/>
    </xf>
    <xf numFmtId="0" fontId="35" fillId="51" borderId="50" xfId="103" applyFont="1" applyFill="1" applyBorder="1" applyAlignment="1">
      <alignment horizontal="center"/>
      <protection/>
    </xf>
    <xf numFmtId="0" fontId="35" fillId="51" borderId="45" xfId="103" applyFont="1" applyFill="1" applyBorder="1" applyAlignment="1">
      <alignment horizontal="center"/>
      <protection/>
    </xf>
    <xf numFmtId="0" fontId="35" fillId="51" borderId="51" xfId="103" applyFont="1" applyFill="1" applyBorder="1" applyAlignment="1">
      <alignment horizontal="center"/>
      <protection/>
    </xf>
    <xf numFmtId="0" fontId="29" fillId="31" borderId="62" xfId="103" applyFont="1" applyFill="1" applyBorder="1" applyAlignment="1">
      <alignment horizontal="center" vertical="center"/>
      <protection/>
    </xf>
    <xf numFmtId="0" fontId="29" fillId="31" borderId="53" xfId="103" applyFont="1" applyFill="1" applyBorder="1" applyAlignment="1">
      <alignment horizontal="center" vertical="center"/>
      <protection/>
    </xf>
    <xf numFmtId="0" fontId="29" fillId="31" borderId="63" xfId="103" applyFont="1" applyFill="1" applyBorder="1" applyAlignment="1">
      <alignment horizontal="center" vertical="center"/>
      <protection/>
    </xf>
    <xf numFmtId="0" fontId="29" fillId="31" borderId="46" xfId="103" applyFont="1" applyFill="1" applyBorder="1" applyAlignment="1">
      <alignment horizontal="center" vertical="center"/>
      <protection/>
    </xf>
    <xf numFmtId="0" fontId="29" fillId="31" borderId="70" xfId="103" applyFont="1" applyFill="1" applyBorder="1" applyAlignment="1">
      <alignment horizontal="left" vertical="center"/>
      <protection/>
    </xf>
    <xf numFmtId="0" fontId="29" fillId="31" borderId="52" xfId="103" applyFont="1" applyFill="1" applyBorder="1" applyAlignment="1">
      <alignment horizontal="left" vertical="center"/>
      <protection/>
    </xf>
    <xf numFmtId="0" fontId="35" fillId="51" borderId="55" xfId="103" applyFont="1" applyFill="1" applyBorder="1" applyAlignment="1">
      <alignment horizontal="center"/>
      <protection/>
    </xf>
    <xf numFmtId="0" fontId="35" fillId="51" borderId="36" xfId="103" applyFont="1" applyFill="1" applyBorder="1" applyAlignment="1">
      <alignment horizontal="center"/>
      <protection/>
    </xf>
    <xf numFmtId="0" fontId="35" fillId="51" borderId="37" xfId="103" applyFont="1" applyFill="1" applyBorder="1" applyAlignment="1">
      <alignment horizontal="center"/>
      <protection/>
    </xf>
    <xf numFmtId="199" fontId="36" fillId="31" borderId="38" xfId="103" applyNumberFormat="1" applyFont="1" applyFill="1" applyBorder="1" applyAlignment="1">
      <alignment horizontal="center" wrapText="1"/>
      <protection/>
    </xf>
    <xf numFmtId="199" fontId="36" fillId="31" borderId="0" xfId="103" applyNumberFormat="1" applyFont="1" applyFill="1" applyAlignment="1">
      <alignment horizontal="center" wrapText="1"/>
      <protection/>
    </xf>
    <xf numFmtId="0" fontId="34" fillId="31" borderId="72" xfId="103" applyFont="1" applyFill="1" applyBorder="1" applyAlignment="1">
      <alignment horizontal="left" indent="2"/>
      <protection/>
    </xf>
    <xf numFmtId="0" fontId="34" fillId="31" borderId="73" xfId="103" applyFont="1" applyFill="1" applyBorder="1" applyAlignment="1">
      <alignment horizontal="left" indent="2"/>
      <protection/>
    </xf>
    <xf numFmtId="0" fontId="29" fillId="52" borderId="0" xfId="103" applyFont="1" applyFill="1" applyAlignment="1">
      <alignment horizontal="center"/>
      <protection/>
    </xf>
    <xf numFmtId="14" fontId="29" fillId="31" borderId="0" xfId="103" applyNumberFormat="1" applyFont="1" applyFill="1" applyAlignment="1">
      <alignment horizontal="right"/>
      <protection/>
    </xf>
    <xf numFmtId="0" fontId="36" fillId="31" borderId="0" xfId="103" applyFont="1" applyFill="1" applyAlignment="1">
      <alignment horizontal="justify" vertical="top" wrapText="1"/>
      <protection/>
    </xf>
    <xf numFmtId="0" fontId="29" fillId="31" borderId="23" xfId="103" applyFont="1" applyFill="1" applyBorder="1" applyAlignment="1">
      <alignment horizontal="center"/>
      <protection/>
    </xf>
    <xf numFmtId="0" fontId="13" fillId="0" borderId="24" xfId="112" applyFont="1" applyFill="1" applyBorder="1" applyAlignment="1" applyProtection="1">
      <alignment horizontal="center" vertical="center"/>
      <protection/>
    </xf>
    <xf numFmtId="0" fontId="13" fillId="0" borderId="25" xfId="112" applyFont="1" applyFill="1" applyBorder="1" applyAlignment="1" applyProtection="1">
      <alignment horizontal="center" vertical="center"/>
      <protection/>
    </xf>
    <xf numFmtId="0" fontId="13" fillId="0" borderId="35" xfId="112" applyFont="1" applyFill="1" applyBorder="1" applyAlignment="1" applyProtection="1">
      <alignment horizontal="center" vertical="center"/>
      <protection/>
    </xf>
  </cellXfs>
  <cellStyles count="153">
    <cellStyle name="Normal" xfId="0"/>
    <cellStyle name="12" xfId="15"/>
    <cellStyle name="12 2" xfId="16"/>
    <cellStyle name="12 2 2" xfId="17"/>
    <cellStyle name="20% - Ênfase1" xfId="18"/>
    <cellStyle name="20% - Ênfase1 2" xfId="19"/>
    <cellStyle name="20% - Ênfase1 2 2" xfId="20"/>
    <cellStyle name="20% - Ênfase2" xfId="21"/>
    <cellStyle name="20% - Ênfase2 2" xfId="22"/>
    <cellStyle name="20% - Ênfase2 2 2" xfId="23"/>
    <cellStyle name="20% - Ênfase3" xfId="24"/>
    <cellStyle name="20% - Ênfase3 2" xfId="25"/>
    <cellStyle name="20% - Ênfase3 2 2" xfId="26"/>
    <cellStyle name="20% - Ênfase4" xfId="27"/>
    <cellStyle name="20% - Ênfase4 2" xfId="28"/>
    <cellStyle name="20% - Ênfase4 2 2" xfId="29"/>
    <cellStyle name="20% - Ênfase5" xfId="30"/>
    <cellStyle name="20% - Ênfase5 2" xfId="31"/>
    <cellStyle name="20% - Ênfase5 2 2" xfId="32"/>
    <cellStyle name="20% - Ênfase6" xfId="33"/>
    <cellStyle name="20% - Ênfase6 2" xfId="34"/>
    <cellStyle name="20% - Ênfase6 2 2" xfId="35"/>
    <cellStyle name="40% - Ênfase1" xfId="36"/>
    <cellStyle name="40% - Ênfase1 2" xfId="37"/>
    <cellStyle name="40% - Ênfase1 2 2" xfId="38"/>
    <cellStyle name="40% - Ênfase2" xfId="39"/>
    <cellStyle name="40% - Ênfase2 2" xfId="40"/>
    <cellStyle name="40% - Ênfase2 2 2" xfId="41"/>
    <cellStyle name="40% - Ênfase3" xfId="42"/>
    <cellStyle name="40% - Ênfase3 2" xfId="43"/>
    <cellStyle name="40% - Ênfase3 2 2" xfId="44"/>
    <cellStyle name="40% - Ênfase4" xfId="45"/>
    <cellStyle name="40% - Ênfase4 2" xfId="46"/>
    <cellStyle name="40% - Ênfase4 2 2" xfId="47"/>
    <cellStyle name="40% - Ênfase5" xfId="48"/>
    <cellStyle name="40% - Ênfase5 2" xfId="49"/>
    <cellStyle name="40% - Ênfase5 2 2" xfId="50"/>
    <cellStyle name="40% - Ênfase6" xfId="51"/>
    <cellStyle name="40% - Ênfase6 2" xfId="52"/>
    <cellStyle name="40% - Ênfase6 2 2" xfId="53"/>
    <cellStyle name="60% - Ênfase1" xfId="54"/>
    <cellStyle name="60% - Ênfase1 2" xfId="55"/>
    <cellStyle name="60% - Ênfase2" xfId="56"/>
    <cellStyle name="60% - Ênfase2 2" xfId="57"/>
    <cellStyle name="60% - Ênfase3" xfId="58"/>
    <cellStyle name="60% - Ênfase3 2" xfId="59"/>
    <cellStyle name="60% - Ênfase4" xfId="60"/>
    <cellStyle name="60% - Ênfase4 2" xfId="61"/>
    <cellStyle name="60% - Ênfase5" xfId="62"/>
    <cellStyle name="60% - Ênfase5 2" xfId="63"/>
    <cellStyle name="60% - Ênfase6" xfId="64"/>
    <cellStyle name="60% - Ênfase6 2" xfId="65"/>
    <cellStyle name="Bom" xfId="66"/>
    <cellStyle name="Bom 2" xfId="67"/>
    <cellStyle name="Cálculo" xfId="68"/>
    <cellStyle name="Cálculo 2" xfId="69"/>
    <cellStyle name="Célula de Verificação" xfId="70"/>
    <cellStyle name="Célula de Verificação 2" xfId="71"/>
    <cellStyle name="Célula Vinculada" xfId="72"/>
    <cellStyle name="Célula Vinculada 2" xfId="73"/>
    <cellStyle name="Ênfase1" xfId="74"/>
    <cellStyle name="Ênfase1 2" xfId="75"/>
    <cellStyle name="Ênfase2" xfId="76"/>
    <cellStyle name="Ênfase2 2" xfId="77"/>
    <cellStyle name="Ênfase3" xfId="78"/>
    <cellStyle name="Ênfase3 2" xfId="79"/>
    <cellStyle name="Ênfase4" xfId="80"/>
    <cellStyle name="Ênfase4 2" xfId="81"/>
    <cellStyle name="Ênfase5" xfId="82"/>
    <cellStyle name="Ênfase5 2" xfId="83"/>
    <cellStyle name="Ênfase6" xfId="84"/>
    <cellStyle name="Ênfase6 2" xfId="85"/>
    <cellStyle name="Entrada" xfId="86"/>
    <cellStyle name="Entrada 2" xfId="87"/>
    <cellStyle name="Euro" xfId="88"/>
    <cellStyle name="Hyperlink" xfId="89"/>
    <cellStyle name="Followed Hyperlink" xfId="90"/>
    <cellStyle name="Incorreto 2" xfId="91"/>
    <cellStyle name="Indefinido" xfId="92"/>
    <cellStyle name="Currency" xfId="93"/>
    <cellStyle name="Currency [0]" xfId="94"/>
    <cellStyle name="Moeda 2" xfId="95"/>
    <cellStyle name="Moeda 2 2" xfId="96"/>
    <cellStyle name="Moeda 2 3" xfId="97"/>
    <cellStyle name="Moeda 4" xfId="98"/>
    <cellStyle name="Moeda 4 2" xfId="99"/>
    <cellStyle name="Neutra 2" xfId="100"/>
    <cellStyle name="Neutro" xfId="101"/>
    <cellStyle name="Normal 14" xfId="102"/>
    <cellStyle name="Normal 2" xfId="103"/>
    <cellStyle name="Normal 2 2" xfId="104"/>
    <cellStyle name="Normal 2 2 3" xfId="105"/>
    <cellStyle name="Normal 2 3" xfId="106"/>
    <cellStyle name="Normal 3" xfId="107"/>
    <cellStyle name="Normal 3 2" xfId="108"/>
    <cellStyle name="Normal 3 2 2" xfId="109"/>
    <cellStyle name="Normal 3 3" xfId="110"/>
    <cellStyle name="Normal 4" xfId="111"/>
    <cellStyle name="Normal 4 2" xfId="112"/>
    <cellStyle name="Normal 4 3" xfId="113"/>
    <cellStyle name="Normal 5" xfId="114"/>
    <cellStyle name="Normal 5 2" xfId="115"/>
    <cellStyle name="Normal 6" xfId="116"/>
    <cellStyle name="Normal 7" xfId="117"/>
    <cellStyle name="Normal 7 2" xfId="118"/>
    <cellStyle name="Normal 8" xfId="119"/>
    <cellStyle name="Normal 9" xfId="120"/>
    <cellStyle name="Normal_Planilha de Preços Unitários 2000-2001" xfId="121"/>
    <cellStyle name="Normal_PM Poço das Antas TP 002-2003 ORÇ" xfId="122"/>
    <cellStyle name="Nota" xfId="123"/>
    <cellStyle name="Nota 2" xfId="124"/>
    <cellStyle name="Percent" xfId="125"/>
    <cellStyle name="Porcentagem 2" xfId="126"/>
    <cellStyle name="Porcentagem 2 2" xfId="127"/>
    <cellStyle name="Porcentagem 2 3" xfId="128"/>
    <cellStyle name="Porcentagem 3" xfId="129"/>
    <cellStyle name="Porcentagem 3 2" xfId="130"/>
    <cellStyle name="Porcentagem 4" xfId="131"/>
    <cellStyle name="Porcentagem 5" xfId="132"/>
    <cellStyle name="Ruim" xfId="133"/>
    <cellStyle name="Saída" xfId="134"/>
    <cellStyle name="Saída 2" xfId="135"/>
    <cellStyle name="Comma [0]" xfId="136"/>
    <cellStyle name="Separador de milhares 2" xfId="137"/>
    <cellStyle name="Separador de milhares 2 2" xfId="138"/>
    <cellStyle name="Separador de milhares 2 2 3" xfId="139"/>
    <cellStyle name="Separador de milhares 2 3" xfId="140"/>
    <cellStyle name="Separador de milhares 3" xfId="141"/>
    <cellStyle name="Separador de milhares 4" xfId="142"/>
    <cellStyle name="Separador de milhares 4 2" xfId="143"/>
    <cellStyle name="Separador de milhares 4 2 2" xfId="144"/>
    <cellStyle name="Texto de Aviso" xfId="145"/>
    <cellStyle name="Texto de Aviso 2" xfId="146"/>
    <cellStyle name="Texto Explicativo" xfId="147"/>
    <cellStyle name="Texto Explicativo 2" xfId="148"/>
    <cellStyle name="Título" xfId="149"/>
    <cellStyle name="Título 1" xfId="150"/>
    <cellStyle name="Título 1 2" xfId="151"/>
    <cellStyle name="Título 2" xfId="152"/>
    <cellStyle name="Título 2 2" xfId="153"/>
    <cellStyle name="Título 3" xfId="154"/>
    <cellStyle name="Título 3 2" xfId="155"/>
    <cellStyle name="Título 4" xfId="156"/>
    <cellStyle name="Título 4 2" xfId="157"/>
    <cellStyle name="Título 5" xfId="158"/>
    <cellStyle name="Total" xfId="159"/>
    <cellStyle name="Total 2" xfId="160"/>
    <cellStyle name="Comma" xfId="161"/>
    <cellStyle name="Vírgula 2" xfId="162"/>
    <cellStyle name="Vírgula 2 2" xfId="163"/>
    <cellStyle name="Vírgula 3" xfId="164"/>
    <cellStyle name="Vírgula 3 2" xfId="165"/>
    <cellStyle name="Vírgula 3 3" xfId="166"/>
  </cellStyles>
  <dxfs count="18"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  <dxf>
      <font>
        <color indexed="9"/>
      </font>
    </dxf>
    <dxf>
      <font>
        <color rgb="FFFF000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indexed="10"/>
      </font>
      <fill>
        <patternFill>
          <bgColor indexed="43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color theme="0"/>
      </font>
      <fill>
        <patternFill>
          <bgColor theme="0"/>
        </patternFill>
      </fill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20.png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png" /><Relationship Id="rId25" Type="http://schemas.openxmlformats.org/officeDocument/2006/relationships/image" Target="../media/image26.png" /><Relationship Id="rId26" Type="http://schemas.openxmlformats.org/officeDocument/2006/relationships/image" Target="../media/image27.png" /><Relationship Id="rId27" Type="http://schemas.openxmlformats.org/officeDocument/2006/relationships/image" Target="../media/image28.png" /><Relationship Id="rId28" Type="http://schemas.openxmlformats.org/officeDocument/2006/relationships/image" Target="../media/image29.png" /><Relationship Id="rId29" Type="http://schemas.openxmlformats.org/officeDocument/2006/relationships/image" Target="../media/image3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1</xdr:col>
      <xdr:colOff>0</xdr:colOff>
      <xdr:row>11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</xdr:col>
      <xdr:colOff>0</xdr:colOff>
      <xdr:row>10</xdr:row>
      <xdr:rowOff>9525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1</xdr:col>
      <xdr:colOff>0</xdr:colOff>
      <xdr:row>12</xdr:row>
      <xdr:rowOff>9525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5242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0</xdr:colOff>
      <xdr:row>13</xdr:row>
      <xdr:rowOff>9525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0957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14</xdr:row>
      <xdr:rowOff>9525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6672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pic>
      <xdr:nvPicPr>
        <xdr:cNvPr id="6" name="Imagem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524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0</xdr:colOff>
      <xdr:row>21</xdr:row>
      <xdr:rowOff>0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096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8" name="Imagem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667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pic>
      <xdr:nvPicPr>
        <xdr:cNvPr id="9" name="Imagem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239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0</xdr:colOff>
      <xdr:row>24</xdr:row>
      <xdr:rowOff>0</xdr:rowOff>
    </xdr:to>
    <xdr:pic>
      <xdr:nvPicPr>
        <xdr:cNvPr id="10" name="Imagem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9810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pic>
      <xdr:nvPicPr>
        <xdr:cNvPr id="11" name="Imagem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0382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</xdr:col>
      <xdr:colOff>0</xdr:colOff>
      <xdr:row>26</xdr:row>
      <xdr:rowOff>0</xdr:rowOff>
    </xdr:to>
    <xdr:pic>
      <xdr:nvPicPr>
        <xdr:cNvPr id="12" name="Imagem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953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</xdr:col>
      <xdr:colOff>0</xdr:colOff>
      <xdr:row>27</xdr:row>
      <xdr:rowOff>0</xdr:rowOff>
    </xdr:to>
    <xdr:pic>
      <xdr:nvPicPr>
        <xdr:cNvPr id="13" name="Imagem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525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0</xdr:colOff>
      <xdr:row>28</xdr:row>
      <xdr:rowOff>0</xdr:rowOff>
    </xdr:to>
    <xdr:pic>
      <xdr:nvPicPr>
        <xdr:cNvPr id="14" name="Imagem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096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0</xdr:colOff>
      <xdr:row>29</xdr:row>
      <xdr:rowOff>0</xdr:rowOff>
    </xdr:to>
    <xdr:pic>
      <xdr:nvPicPr>
        <xdr:cNvPr id="15" name="Imagem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2668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0</xdr:colOff>
      <xdr:row>30</xdr:row>
      <xdr:rowOff>0</xdr:rowOff>
    </xdr:to>
    <xdr:pic>
      <xdr:nvPicPr>
        <xdr:cNvPr id="16" name="Imagem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239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0</xdr:colOff>
      <xdr:row>31</xdr:row>
      <xdr:rowOff>0</xdr:rowOff>
    </xdr:to>
    <xdr:pic>
      <xdr:nvPicPr>
        <xdr:cNvPr id="17" name="Imagem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3811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0</xdr:colOff>
      <xdr:row>33</xdr:row>
      <xdr:rowOff>0</xdr:rowOff>
    </xdr:to>
    <xdr:pic>
      <xdr:nvPicPr>
        <xdr:cNvPr id="18" name="Imagem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49542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561975</xdr:rowOff>
    </xdr:from>
    <xdr:to>
      <xdr:col>1</xdr:col>
      <xdr:colOff>19050</xdr:colOff>
      <xdr:row>34</xdr:row>
      <xdr:rowOff>9525</xdr:rowOff>
    </xdr:to>
    <xdr:pic>
      <xdr:nvPicPr>
        <xdr:cNvPr id="19" name="Imagem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5516225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40</xdr:row>
      <xdr:rowOff>19050</xdr:rowOff>
    </xdr:from>
    <xdr:to>
      <xdr:col>0</xdr:col>
      <xdr:colOff>628650</xdr:colOff>
      <xdr:row>40</xdr:row>
      <xdr:rowOff>571500</xdr:rowOff>
    </xdr:to>
    <xdr:pic>
      <xdr:nvPicPr>
        <xdr:cNvPr id="20" name="Imagem 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2400" y="1878330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66675</xdr:rowOff>
    </xdr:from>
    <xdr:to>
      <xdr:col>1</xdr:col>
      <xdr:colOff>0</xdr:colOff>
      <xdr:row>41</xdr:row>
      <xdr:rowOff>485775</xdr:rowOff>
    </xdr:to>
    <xdr:pic>
      <xdr:nvPicPr>
        <xdr:cNvPr id="21" name="Imagem 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9402425"/>
          <a:ext cx="74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42</xdr:row>
      <xdr:rowOff>9525</xdr:rowOff>
    </xdr:from>
    <xdr:to>
      <xdr:col>0</xdr:col>
      <xdr:colOff>552450</xdr:colOff>
      <xdr:row>42</xdr:row>
      <xdr:rowOff>571500</xdr:rowOff>
    </xdr:to>
    <xdr:pic>
      <xdr:nvPicPr>
        <xdr:cNvPr id="22" name="Imagem 12" descr="Resultado de imagem para PLACA I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0025" y="19916775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43</xdr:row>
      <xdr:rowOff>9525</xdr:rowOff>
    </xdr:from>
    <xdr:to>
      <xdr:col>0</xdr:col>
      <xdr:colOff>552450</xdr:colOff>
      <xdr:row>43</xdr:row>
      <xdr:rowOff>571500</xdr:rowOff>
    </xdr:to>
    <xdr:pic>
      <xdr:nvPicPr>
        <xdr:cNvPr id="23" name="Imagem 13" descr="Resultado de imagem para PLACA LOMBADA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0025" y="20488275"/>
          <a:ext cx="352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0</xdr:colOff>
      <xdr:row>31</xdr:row>
      <xdr:rowOff>561975</xdr:rowOff>
    </xdr:to>
    <xdr:pic>
      <xdr:nvPicPr>
        <xdr:cNvPr id="24" name="Imagem 2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1438275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</xdr:col>
      <xdr:colOff>0</xdr:colOff>
      <xdr:row>35</xdr:row>
      <xdr:rowOff>9525</xdr:rowOff>
    </xdr:to>
    <xdr:pic>
      <xdr:nvPicPr>
        <xdr:cNvPr id="25" name="Imagem 2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60972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1</xdr:col>
      <xdr:colOff>0</xdr:colOff>
      <xdr:row>36</xdr:row>
      <xdr:rowOff>0</xdr:rowOff>
    </xdr:to>
    <xdr:pic>
      <xdr:nvPicPr>
        <xdr:cNvPr id="26" name="Imagem 2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1666875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1</xdr:col>
      <xdr:colOff>0</xdr:colOff>
      <xdr:row>15</xdr:row>
      <xdr:rowOff>9525</xdr:rowOff>
    </xdr:to>
    <xdr:pic>
      <xdr:nvPicPr>
        <xdr:cNvPr id="27" name="Imagem 2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5238750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15</xdr:row>
      <xdr:rowOff>9525</xdr:rowOff>
    </xdr:from>
    <xdr:to>
      <xdr:col>0</xdr:col>
      <xdr:colOff>657225</xdr:colOff>
      <xdr:row>15</xdr:row>
      <xdr:rowOff>561975</xdr:rowOff>
    </xdr:to>
    <xdr:pic>
      <xdr:nvPicPr>
        <xdr:cNvPr id="28" name="Imagem 2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6200" y="5819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39</xdr:row>
      <xdr:rowOff>133350</xdr:rowOff>
    </xdr:from>
    <xdr:to>
      <xdr:col>0</xdr:col>
      <xdr:colOff>742950</xdr:colOff>
      <xdr:row>39</xdr:row>
      <xdr:rowOff>495300</xdr:rowOff>
    </xdr:to>
    <xdr:pic>
      <xdr:nvPicPr>
        <xdr:cNvPr id="29" name="Imagem 1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9050" y="18326100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4</xdr:row>
      <xdr:rowOff>28575</xdr:rowOff>
    </xdr:from>
    <xdr:to>
      <xdr:col>3</xdr:col>
      <xdr:colOff>1685925</xdr:colOff>
      <xdr:row>50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90575"/>
          <a:ext cx="6829425" cy="920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M_Diversas\Marat&#225;\Projetos\2017\1-Enviado_20-02-2017\Rua%20Mathias%20Kirsten%20Filho\05%20Or&#231;amento\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ENG\Servidor%20Eng\Users\Usuario\Desktop\Encargos%20Socia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otonio\TEOTONIO\Teotonio\Editais\Editais%202016\07%20Julho\14%20Julho%202016%20-%20PM%20Santa%20Clara%20do%20Sul%20-%20TP%2004-02_2016%20-%20Pavimenta&#231;&#227;o\OR&#199;AMENTO\Encargos%20Soci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ENCHER"/>
      <sheetName val="DECLARAÇÃ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socias"/>
      <sheetName val="Extens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cargos socias"/>
      <sheetName val="Exte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D86"/>
  <sheetViews>
    <sheetView showGridLines="0" tabSelected="1" view="pageBreakPreview" zoomScale="60" zoomScaleNormal="60" zoomScalePageLayoutView="0" workbookViewId="0" topLeftCell="A1">
      <selection activeCell="H30" sqref="H30"/>
    </sheetView>
  </sheetViews>
  <sheetFormatPr defaultColWidth="11.421875" defaultRowHeight="12.75"/>
  <cols>
    <col min="1" max="1" width="6.421875" style="13" customWidth="1"/>
    <col min="2" max="3" width="17.00390625" style="2" customWidth="1"/>
    <col min="4" max="4" width="16.7109375" style="2" bestFit="1" customWidth="1"/>
    <col min="5" max="5" width="87.8515625" style="16" customWidth="1"/>
    <col min="6" max="6" width="13.421875" style="17" customWidth="1"/>
    <col min="7" max="7" width="8.28125" style="3" customWidth="1"/>
    <col min="8" max="8" width="11.7109375" style="177" customWidth="1"/>
    <col min="9" max="12" width="11.7109375" style="3" customWidth="1"/>
    <col min="13" max="14" width="14.7109375" style="3" customWidth="1"/>
    <col min="15" max="15" width="16.421875" style="18" bestFit="1" customWidth="1"/>
    <col min="16" max="16" width="13.57421875" style="2" bestFit="1" customWidth="1"/>
    <col min="17" max="20" width="11.421875" style="2" customWidth="1"/>
    <col min="21" max="22" width="11.421875" style="4" customWidth="1"/>
    <col min="23" max="30" width="11.421875" style="2" customWidth="1"/>
    <col min="31" max="16384" width="11.421875" style="13" customWidth="1"/>
  </cols>
  <sheetData>
    <row r="1" spans="1:30" s="51" customFormat="1" ht="20.25">
      <c r="A1" s="35" t="s">
        <v>431</v>
      </c>
      <c r="B1" s="21"/>
      <c r="C1" s="21"/>
      <c r="D1" s="24"/>
      <c r="E1" s="48"/>
      <c r="F1" s="49"/>
      <c r="G1" s="50"/>
      <c r="H1" s="457"/>
      <c r="I1" s="50"/>
      <c r="J1" s="50"/>
      <c r="K1" s="50"/>
      <c r="L1" s="50"/>
      <c r="P1" s="20"/>
      <c r="Q1" s="20"/>
      <c r="R1" s="20"/>
      <c r="S1" s="20"/>
      <c r="T1" s="20"/>
      <c r="U1" s="21"/>
      <c r="V1" s="21"/>
      <c r="W1" s="20"/>
      <c r="X1" s="20"/>
      <c r="Y1" s="20"/>
      <c r="Z1" s="20"/>
      <c r="AA1" s="20"/>
      <c r="AB1" s="20"/>
      <c r="AC1" s="20"/>
      <c r="AD1" s="20"/>
    </row>
    <row r="2" spans="1:30" s="33" customFormat="1" ht="20.25">
      <c r="A2" s="458" t="s">
        <v>520</v>
      </c>
      <c r="P2" s="20"/>
      <c r="Q2" s="20"/>
      <c r="R2" s="20"/>
      <c r="S2" s="20"/>
      <c r="T2" s="20"/>
      <c r="U2" s="21"/>
      <c r="V2" s="21"/>
      <c r="W2" s="21"/>
      <c r="X2" s="21"/>
      <c r="Y2" s="21"/>
      <c r="Z2" s="21"/>
      <c r="AA2" s="21"/>
      <c r="AB2" s="21"/>
      <c r="AC2" s="21"/>
      <c r="AD2" s="21"/>
    </row>
    <row r="3" spans="2:30" s="33" customFormat="1" ht="20.25">
      <c r="B3" s="24"/>
      <c r="C3" s="24"/>
      <c r="D3" s="24"/>
      <c r="E3" s="11"/>
      <c r="H3" s="169"/>
      <c r="L3" s="19"/>
      <c r="P3" s="20"/>
      <c r="Q3" s="20"/>
      <c r="R3" s="20"/>
      <c r="S3" s="20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s="10" customFormat="1" ht="20.25">
      <c r="A4" s="479" t="s">
        <v>76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1"/>
      <c r="P4" s="2"/>
      <c r="Q4" s="2"/>
      <c r="R4" s="2"/>
      <c r="S4" s="2"/>
      <c r="T4" s="2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10" customFormat="1" ht="20.25">
      <c r="A5" s="476">
        <v>235</v>
      </c>
      <c r="B5" s="477"/>
      <c r="C5" s="477"/>
      <c r="D5" s="477"/>
      <c r="E5" s="459">
        <v>1</v>
      </c>
      <c r="F5" s="12"/>
      <c r="G5" s="9"/>
      <c r="H5" s="170"/>
      <c r="I5" s="12"/>
      <c r="J5" s="12"/>
      <c r="K5" s="12"/>
      <c r="L5" s="12"/>
      <c r="M5" s="33"/>
      <c r="N5" s="33"/>
      <c r="O5" s="460"/>
      <c r="P5" s="3"/>
      <c r="Q5" s="2"/>
      <c r="R5" s="2"/>
      <c r="S5" s="2"/>
      <c r="T5" s="2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0" customFormat="1" ht="20.25">
      <c r="A6" s="483">
        <v>10</v>
      </c>
      <c r="B6" s="484"/>
      <c r="C6" s="484"/>
      <c r="D6" s="484"/>
      <c r="E6" s="286">
        <v>9</v>
      </c>
      <c r="F6" s="286"/>
      <c r="G6" s="286"/>
      <c r="H6" s="286"/>
      <c r="I6" s="12"/>
      <c r="J6" s="12"/>
      <c r="K6" s="12"/>
      <c r="L6" s="12"/>
      <c r="M6" s="487" t="s">
        <v>519</v>
      </c>
      <c r="N6" s="487"/>
      <c r="O6" s="487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0" customFormat="1" ht="20.25">
      <c r="A7" s="485">
        <f>E8</f>
        <v>90</v>
      </c>
      <c r="B7" s="486"/>
      <c r="C7" s="486"/>
      <c r="D7" s="486"/>
      <c r="E7" s="94">
        <v>10</v>
      </c>
      <c r="F7" s="94"/>
      <c r="G7" s="94"/>
      <c r="H7" s="94"/>
      <c r="I7" s="12"/>
      <c r="J7" s="12"/>
      <c r="K7" s="12"/>
      <c r="L7" s="12"/>
      <c r="M7" s="475" t="s">
        <v>565</v>
      </c>
      <c r="N7" s="475"/>
      <c r="O7" s="475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10" customFormat="1" ht="20.25">
      <c r="A8" s="287" t="s">
        <v>7</v>
      </c>
      <c r="B8" s="288">
        <f>ROUND(A6*A5+A7,2)</f>
        <v>2440</v>
      </c>
      <c r="C8" s="288"/>
      <c r="D8" s="289"/>
      <c r="E8" s="461">
        <f>ROUND(E5*E6*E7,2)</f>
        <v>90</v>
      </c>
      <c r="F8" s="462"/>
      <c r="G8" s="462"/>
      <c r="H8" s="462"/>
      <c r="I8" s="34"/>
      <c r="J8" s="34"/>
      <c r="K8" s="34"/>
      <c r="L8" s="34"/>
      <c r="M8" s="463"/>
      <c r="N8" s="463"/>
      <c r="O8" s="464"/>
      <c r="P8" s="2"/>
      <c r="Q8" s="2"/>
      <c r="R8" s="2"/>
      <c r="S8" s="2"/>
      <c r="T8" s="2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20" s="4" customFormat="1" ht="20.25">
      <c r="A9" s="473" t="s">
        <v>0</v>
      </c>
      <c r="B9" s="473" t="s">
        <v>106</v>
      </c>
      <c r="C9" s="473"/>
      <c r="D9" s="473"/>
      <c r="E9" s="474" t="s">
        <v>1</v>
      </c>
      <c r="F9" s="478" t="s">
        <v>2</v>
      </c>
      <c r="G9" s="482" t="s">
        <v>8</v>
      </c>
      <c r="H9" s="472" t="s">
        <v>136</v>
      </c>
      <c r="I9" s="472" t="s">
        <v>135</v>
      </c>
      <c r="J9" s="472" t="s">
        <v>133</v>
      </c>
      <c r="K9" s="472"/>
      <c r="L9" s="472"/>
      <c r="M9" s="472" t="s">
        <v>134</v>
      </c>
      <c r="N9" s="472"/>
      <c r="O9" s="472"/>
      <c r="P9" s="2"/>
      <c r="Q9" s="2"/>
      <c r="R9" s="2"/>
      <c r="S9" s="2"/>
      <c r="T9" s="2"/>
    </row>
    <row r="10" spans="1:20" s="4" customFormat="1" ht="20.25">
      <c r="A10" s="473"/>
      <c r="B10" s="59" t="s">
        <v>107</v>
      </c>
      <c r="C10" s="59"/>
      <c r="D10" s="59" t="s">
        <v>100</v>
      </c>
      <c r="E10" s="474"/>
      <c r="F10" s="478"/>
      <c r="G10" s="482"/>
      <c r="H10" s="472"/>
      <c r="I10" s="472"/>
      <c r="J10" s="95" t="s">
        <v>24</v>
      </c>
      <c r="K10" s="95" t="s">
        <v>25</v>
      </c>
      <c r="L10" s="95" t="s">
        <v>23</v>
      </c>
      <c r="M10" s="95" t="s">
        <v>24</v>
      </c>
      <c r="N10" s="95" t="s">
        <v>25</v>
      </c>
      <c r="O10" s="95" t="s">
        <v>23</v>
      </c>
      <c r="P10" s="2"/>
      <c r="Q10" s="2"/>
      <c r="R10" s="2"/>
      <c r="S10" s="2"/>
      <c r="T10" s="2"/>
    </row>
    <row r="11" spans="1:30" s="10" customFormat="1" ht="20.25">
      <c r="A11" s="37">
        <v>1</v>
      </c>
      <c r="B11" s="97" t="s">
        <v>29</v>
      </c>
      <c r="C11" s="97"/>
      <c r="D11" s="97"/>
      <c r="E11" s="97"/>
      <c r="F11" s="97"/>
      <c r="G11" s="97"/>
      <c r="H11" s="171"/>
      <c r="I11" s="97"/>
      <c r="J11" s="97"/>
      <c r="K11" s="97"/>
      <c r="L11" s="97"/>
      <c r="M11" s="97"/>
      <c r="N11" s="97"/>
      <c r="O11" s="98"/>
      <c r="P11" s="2"/>
      <c r="Q11" s="2"/>
      <c r="R11" s="2"/>
      <c r="S11" s="2"/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0" customFormat="1" ht="20.25">
      <c r="A12" s="82" t="s">
        <v>9</v>
      </c>
      <c r="B12" s="82" t="s">
        <v>105</v>
      </c>
      <c r="C12" s="82" t="s">
        <v>281</v>
      </c>
      <c r="D12" s="179">
        <v>4813</v>
      </c>
      <c r="E12" s="83" t="s">
        <v>411</v>
      </c>
      <c r="F12" s="84">
        <f>ROUND(1.2*2.4,2)</f>
        <v>2.88</v>
      </c>
      <c r="G12" s="85" t="s">
        <v>4</v>
      </c>
      <c r="H12" s="182">
        <v>430</v>
      </c>
      <c r="I12" s="96"/>
      <c r="J12" s="96">
        <f>ROUND(((0.8*H12)*'BDI Insumos'!$G$51/100)+0.8*H12,2)</f>
        <v>387.41</v>
      </c>
      <c r="K12" s="96">
        <f>ROUND(((0.2*H12)*'BDI Composição'!$G$51/100)+0.2*H12,2)</f>
        <v>103.05</v>
      </c>
      <c r="L12" s="182">
        <f>ROUND(J12+K12,2)</f>
        <v>490.46</v>
      </c>
      <c r="M12" s="96">
        <f>ROUND(J12*F12,2)</f>
        <v>1115.74</v>
      </c>
      <c r="N12" s="96">
        <f>O12-M12</f>
        <v>296.78</v>
      </c>
      <c r="O12" s="96">
        <f>ROUND(L12*F12,2)</f>
        <v>1412.52</v>
      </c>
      <c r="P12" s="2"/>
      <c r="Q12" s="2"/>
      <c r="R12" s="2"/>
      <c r="S12" s="2"/>
      <c r="T12" s="2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24" s="10" customFormat="1" ht="20.25">
      <c r="A13" s="82" t="s">
        <v>77</v>
      </c>
      <c r="B13" s="82"/>
      <c r="C13" s="82" t="s">
        <v>397</v>
      </c>
      <c r="D13" s="179" t="s">
        <v>137</v>
      </c>
      <c r="E13" s="83" t="s">
        <v>99</v>
      </c>
      <c r="F13" s="84">
        <v>1</v>
      </c>
      <c r="G13" s="85" t="s">
        <v>20</v>
      </c>
      <c r="H13" s="96">
        <f>Composições!H18</f>
        <v>8134.51</v>
      </c>
      <c r="I13" s="96"/>
      <c r="J13" s="96">
        <f>ROUND(((0.8*H13)*'BDI Insumos'!$G$51/100)+0.8*H13,2)</f>
        <v>7328.87</v>
      </c>
      <c r="K13" s="96">
        <f>ROUND(((0.2*H13)*'BDI Composição'!$G$51/100)+0.2*H13,2)</f>
        <v>1949.35</v>
      </c>
      <c r="L13" s="182">
        <f>ROUND(J13+K13,2)</f>
        <v>9278.22</v>
      </c>
      <c r="M13" s="96">
        <f>ROUND(J13*F13,2)</f>
        <v>7328.87</v>
      </c>
      <c r="N13" s="96">
        <f>O13-M13</f>
        <v>1949.3499999999995</v>
      </c>
      <c r="O13" s="96">
        <f>ROUND(L13*F13,2)</f>
        <v>9278.22</v>
      </c>
      <c r="P13" s="4"/>
      <c r="Q13" s="4"/>
      <c r="R13" s="4"/>
      <c r="S13" s="4"/>
      <c r="T13" s="4"/>
      <c r="U13" s="4"/>
      <c r="V13" s="4"/>
      <c r="W13" s="4"/>
      <c r="X13" s="4"/>
    </row>
    <row r="14" spans="1:24" s="10" customFormat="1" ht="20.25">
      <c r="A14" s="82" t="s">
        <v>90</v>
      </c>
      <c r="B14" s="82"/>
      <c r="C14" s="82" t="s">
        <v>397</v>
      </c>
      <c r="D14" s="179" t="s">
        <v>138</v>
      </c>
      <c r="E14" s="83" t="s">
        <v>129</v>
      </c>
      <c r="F14" s="84">
        <v>3</v>
      </c>
      <c r="G14" s="85" t="s">
        <v>513</v>
      </c>
      <c r="H14" s="96">
        <f>Composições!H36</f>
        <v>7141.96</v>
      </c>
      <c r="I14" s="96"/>
      <c r="J14" s="96">
        <f>ROUND(((0.8*H14)*'BDI Insumos'!$G$51/100)+0.8*H14,2)</f>
        <v>6434.62</v>
      </c>
      <c r="K14" s="96">
        <f>ROUND(((0.2*H14)*'BDI Composição'!$G$51/100)+0.2*H14,2)</f>
        <v>1711.5</v>
      </c>
      <c r="L14" s="182">
        <f>ROUND(J14+K14,2)</f>
        <v>8146.12</v>
      </c>
      <c r="M14" s="96">
        <f>ROUND(J14*F14,2)</f>
        <v>19303.86</v>
      </c>
      <c r="N14" s="96">
        <f>O14-M14</f>
        <v>5134.5</v>
      </c>
      <c r="O14" s="96">
        <f>ROUND(L14*F14,2)</f>
        <v>24438.36</v>
      </c>
      <c r="P14" s="4"/>
      <c r="Q14" s="4"/>
      <c r="R14" s="4"/>
      <c r="S14" s="4"/>
      <c r="T14" s="4"/>
      <c r="U14" s="4"/>
      <c r="V14" s="4"/>
      <c r="W14" s="4"/>
      <c r="X14" s="4"/>
    </row>
    <row r="15" spans="1:24" s="10" customFormat="1" ht="20.25">
      <c r="A15" s="82" t="s">
        <v>91</v>
      </c>
      <c r="B15" s="82" t="s">
        <v>105</v>
      </c>
      <c r="C15" s="82" t="s">
        <v>397</v>
      </c>
      <c r="D15" s="179">
        <v>98525</v>
      </c>
      <c r="E15" s="83" t="s">
        <v>112</v>
      </c>
      <c r="F15" s="84">
        <f>ROUND((A5*1.5*2)+(E5*E6*1.5*2),2)</f>
        <v>732</v>
      </c>
      <c r="G15" s="85" t="s">
        <v>4</v>
      </c>
      <c r="H15" s="182">
        <v>0.39</v>
      </c>
      <c r="I15" s="96"/>
      <c r="J15" s="96">
        <f>ROUND(((0.8*H15)*'BDI Insumos'!$G$51/100)+0.8*H15,2)</f>
        <v>0.35</v>
      </c>
      <c r="K15" s="96">
        <f>ROUND(((0.2*H15)*'BDI Composição'!$G$51/100)+0.2*H15,2)</f>
        <v>0.09</v>
      </c>
      <c r="L15" s="182">
        <f>ROUND(J15+K15,2)</f>
        <v>0.44</v>
      </c>
      <c r="M15" s="96">
        <f>ROUND(J15*F15,2)</f>
        <v>256.2</v>
      </c>
      <c r="N15" s="96">
        <f>O15-M15</f>
        <v>65.88</v>
      </c>
      <c r="O15" s="96">
        <f>ROUND(L15*F15,2)</f>
        <v>322.08</v>
      </c>
      <c r="P15" s="4"/>
      <c r="Q15" s="4"/>
      <c r="R15" s="4"/>
      <c r="S15" s="4"/>
      <c r="T15" s="4"/>
      <c r="U15" s="4"/>
      <c r="V15" s="4"/>
      <c r="W15" s="4"/>
      <c r="X15" s="4"/>
    </row>
    <row r="16" spans="1:30" s="14" customFormat="1" ht="20.25">
      <c r="A16" s="99" t="s">
        <v>78</v>
      </c>
      <c r="B16" s="99"/>
      <c r="C16" s="99"/>
      <c r="D16" s="99"/>
      <c r="E16" s="99"/>
      <c r="F16" s="99"/>
      <c r="G16" s="99"/>
      <c r="H16" s="172"/>
      <c r="I16" s="99"/>
      <c r="J16" s="99"/>
      <c r="K16" s="99"/>
      <c r="L16" s="136">
        <f>O16/$O$78</f>
        <v>0.049399241609626485</v>
      </c>
      <c r="M16" s="100">
        <f>SUM(M12:M15)</f>
        <v>28004.670000000002</v>
      </c>
      <c r="N16" s="100">
        <f>SUM(N12:N15)</f>
        <v>7446.509999999999</v>
      </c>
      <c r="O16" s="100">
        <f>SUM(O12:O15)</f>
        <v>35451.18</v>
      </c>
      <c r="P16" s="7"/>
      <c r="Q16" s="7"/>
      <c r="R16" s="7"/>
      <c r="S16" s="7"/>
      <c r="T16" s="7"/>
      <c r="U16" s="8"/>
      <c r="V16" s="8"/>
      <c r="W16" s="7"/>
      <c r="X16" s="7"/>
      <c r="Y16" s="7"/>
      <c r="Z16" s="7"/>
      <c r="AA16" s="7"/>
      <c r="AB16" s="7"/>
      <c r="AC16" s="7"/>
      <c r="AD16" s="7"/>
    </row>
    <row r="17" spans="1:30" s="15" customFormat="1" ht="20.25">
      <c r="A17" s="101">
        <v>2</v>
      </c>
      <c r="B17" s="102" t="s">
        <v>30</v>
      </c>
      <c r="C17" s="102"/>
      <c r="D17" s="102"/>
      <c r="E17" s="103"/>
      <c r="F17" s="103"/>
      <c r="G17" s="103"/>
      <c r="H17" s="173"/>
      <c r="I17" s="103"/>
      <c r="J17" s="103"/>
      <c r="K17" s="103"/>
      <c r="L17" s="103"/>
      <c r="M17" s="103"/>
      <c r="N17" s="103"/>
      <c r="O17" s="104"/>
      <c r="P17" s="7"/>
      <c r="Q17" s="7"/>
      <c r="R17" s="7"/>
      <c r="S17" s="7"/>
      <c r="T17" s="7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30" s="15" customFormat="1" ht="20.25">
      <c r="A18" s="185" t="s">
        <v>10</v>
      </c>
      <c r="B18" s="184" t="s">
        <v>294</v>
      </c>
      <c r="C18" s="184"/>
      <c r="D18" s="102"/>
      <c r="E18" s="103"/>
      <c r="F18" s="103"/>
      <c r="G18" s="103"/>
      <c r="H18" s="173"/>
      <c r="I18" s="103"/>
      <c r="J18" s="103"/>
      <c r="K18" s="103"/>
      <c r="L18" s="103"/>
      <c r="M18" s="103"/>
      <c r="N18" s="103"/>
      <c r="O18" s="104"/>
      <c r="P18" s="7"/>
      <c r="Q18" s="7"/>
      <c r="R18" s="7"/>
      <c r="S18" s="7"/>
      <c r="T18" s="7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spans="1:15" ht="36">
      <c r="A19" s="82" t="s">
        <v>295</v>
      </c>
      <c r="B19" s="82" t="s">
        <v>105</v>
      </c>
      <c r="C19" s="82" t="s">
        <v>397</v>
      </c>
      <c r="D19" s="82">
        <v>101206</v>
      </c>
      <c r="E19" s="83" t="s">
        <v>399</v>
      </c>
      <c r="F19" s="84">
        <f>Volumes!J38</f>
        <v>989.3675200000001</v>
      </c>
      <c r="G19" s="85" t="s">
        <v>3</v>
      </c>
      <c r="H19" s="96">
        <v>9</v>
      </c>
      <c r="I19" s="96"/>
      <c r="J19" s="96">
        <f>ROUND(((0.8*H19)*'BDI Insumos'!$G$51/100)+0.8*H19,2)</f>
        <v>8.11</v>
      </c>
      <c r="K19" s="96">
        <f>ROUND(((0.2*H19)*'BDI Composição'!$G$51/100)+0.2*H19,2)</f>
        <v>2.16</v>
      </c>
      <c r="L19" s="182">
        <f>ROUND(J19+K19,2)</f>
        <v>10.27</v>
      </c>
      <c r="M19" s="96">
        <f>ROUND(J19*F19,2)</f>
        <v>8023.77</v>
      </c>
      <c r="N19" s="96">
        <f>O19-M19</f>
        <v>2137.029999999999</v>
      </c>
      <c r="O19" s="96">
        <f>ROUND(L19*F19,2)</f>
        <v>10160.8</v>
      </c>
    </row>
    <row r="20" spans="1:15" ht="36">
      <c r="A20" s="82" t="s">
        <v>296</v>
      </c>
      <c r="B20" s="82"/>
      <c r="C20" s="82" t="s">
        <v>397</v>
      </c>
      <c r="D20" s="82" t="s">
        <v>421</v>
      </c>
      <c r="E20" s="83" t="s">
        <v>542</v>
      </c>
      <c r="F20" s="84">
        <f>Volumes!H38</f>
        <v>132.52058</v>
      </c>
      <c r="G20" s="85" t="s">
        <v>3</v>
      </c>
      <c r="H20" s="96">
        <f>Composições!H46</f>
        <v>31.2</v>
      </c>
      <c r="I20" s="96"/>
      <c r="J20" s="96">
        <f>ROUND(((0.8*H20)*'BDI Insumos'!$G$51/100)+0.8*H20,2)</f>
        <v>28.11</v>
      </c>
      <c r="K20" s="96">
        <f>ROUND(((0.2*H20)*'BDI Composição'!$G$51/100)+0.2*H20,2)</f>
        <v>7.48</v>
      </c>
      <c r="L20" s="182">
        <f>ROUND(J20+K20,2)</f>
        <v>35.59</v>
      </c>
      <c r="M20" s="96">
        <f>ROUND(J20*F20,2)</f>
        <v>3725.15</v>
      </c>
      <c r="N20" s="96">
        <f>O20-M20</f>
        <v>991.2599999999998</v>
      </c>
      <c r="O20" s="96">
        <f>ROUND(L20*F20,2)</f>
        <v>4716.41</v>
      </c>
    </row>
    <row r="21" spans="1:15" ht="20.25">
      <c r="A21" s="82" t="s">
        <v>297</v>
      </c>
      <c r="B21" s="82" t="s">
        <v>109</v>
      </c>
      <c r="C21" s="82" t="s">
        <v>397</v>
      </c>
      <c r="D21" s="82">
        <v>5500991</v>
      </c>
      <c r="E21" s="83" t="s">
        <v>521</v>
      </c>
      <c r="F21" s="84">
        <f>Volumes!F38</f>
        <v>67.50999999999999</v>
      </c>
      <c r="G21" s="85" t="s">
        <v>3</v>
      </c>
      <c r="H21" s="96">
        <v>100</v>
      </c>
      <c r="I21" s="96"/>
      <c r="J21" s="96">
        <f>ROUND(((0.8*H21)*'BDI Insumos'!$G$51/100)+0.8*H21,2)</f>
        <v>90.1</v>
      </c>
      <c r="K21" s="96">
        <f>ROUND(((0.2*H21)*'BDI Composição'!$G$51/100)+0.2*H21,2)</f>
        <v>23.96</v>
      </c>
      <c r="L21" s="182">
        <f aca="true" t="shared" si="0" ref="L21:L32">ROUND(J21+K21,2)</f>
        <v>114.06</v>
      </c>
      <c r="M21" s="96">
        <f>ROUND(J21*F21,2)</f>
        <v>6082.65</v>
      </c>
      <c r="N21" s="96">
        <f>O21-M21</f>
        <v>1617.54</v>
      </c>
      <c r="O21" s="96">
        <f>ROUND(L21*F21,2)</f>
        <v>7700.19</v>
      </c>
    </row>
    <row r="22" spans="1:15" ht="20.25">
      <c r="A22" s="82" t="s">
        <v>298</v>
      </c>
      <c r="B22" s="82" t="s">
        <v>105</v>
      </c>
      <c r="C22" s="82" t="s">
        <v>397</v>
      </c>
      <c r="D22" s="178">
        <v>100574</v>
      </c>
      <c r="E22" s="106" t="s">
        <v>285</v>
      </c>
      <c r="F22" s="84">
        <f>ROUND((F19*1.3+F20*1.25+F21*1.5),2)</f>
        <v>1553.09</v>
      </c>
      <c r="G22" s="85" t="s">
        <v>3</v>
      </c>
      <c r="H22" s="96">
        <v>1</v>
      </c>
      <c r="I22" s="96"/>
      <c r="J22" s="96">
        <f>ROUND(((0.8*H22)*'BDI Insumos'!$G$51/100)+0.8*H22,2)</f>
        <v>0.9</v>
      </c>
      <c r="K22" s="96">
        <f>ROUND(((0.2*H22)*'BDI Composição'!$G$51/100)+0.2*H22,2)</f>
        <v>0.24</v>
      </c>
      <c r="L22" s="182">
        <f t="shared" si="0"/>
        <v>1.14</v>
      </c>
      <c r="M22" s="96">
        <f>ROUND(J22*F22,2)</f>
        <v>1397.78</v>
      </c>
      <c r="N22" s="96">
        <f>O22-M22</f>
        <v>372.74</v>
      </c>
      <c r="O22" s="96">
        <f>ROUND(L22*F22,2)</f>
        <v>1770.52</v>
      </c>
    </row>
    <row r="23" spans="1:15" ht="20.25">
      <c r="A23" s="82" t="s">
        <v>422</v>
      </c>
      <c r="B23" s="82" t="s">
        <v>105</v>
      </c>
      <c r="C23" s="82" t="s">
        <v>397</v>
      </c>
      <c r="D23" s="82">
        <v>93590</v>
      </c>
      <c r="E23" s="107" t="s">
        <v>271</v>
      </c>
      <c r="F23" s="84">
        <f>ROUND((F19*1.3+F20*1.25+F21*1.5)*I23,2)</f>
        <v>6212.37</v>
      </c>
      <c r="G23" s="85" t="s">
        <v>284</v>
      </c>
      <c r="H23" s="96">
        <v>0.65</v>
      </c>
      <c r="I23" s="96">
        <v>4</v>
      </c>
      <c r="J23" s="96">
        <f>ROUND(((0.8*H23)*'BDI Insumos'!$G$51/100)+0.8*H23,2)</f>
        <v>0.59</v>
      </c>
      <c r="K23" s="96">
        <f>ROUND(((0.2*H23)*'BDI Composição'!$G$51/100)+0.2*H23,2)</f>
        <v>0.16</v>
      </c>
      <c r="L23" s="182">
        <f t="shared" si="0"/>
        <v>0.75</v>
      </c>
      <c r="M23" s="96">
        <f>ROUND(J23*F23,2)</f>
        <v>3665.3</v>
      </c>
      <c r="N23" s="96">
        <f>O23-M23</f>
        <v>993.9799999999996</v>
      </c>
      <c r="O23" s="96">
        <f>ROUND(L23*F23,2)</f>
        <v>4659.28</v>
      </c>
    </row>
    <row r="24" spans="1:15" ht="20.25">
      <c r="A24" s="185" t="s">
        <v>79</v>
      </c>
      <c r="B24" s="99" t="s">
        <v>299</v>
      </c>
      <c r="C24" s="99"/>
      <c r="D24" s="82"/>
      <c r="E24" s="107"/>
      <c r="F24" s="84"/>
      <c r="G24" s="85"/>
      <c r="H24" s="96"/>
      <c r="I24" s="96"/>
      <c r="J24" s="96"/>
      <c r="K24" s="96"/>
      <c r="L24" s="182"/>
      <c r="M24" s="96"/>
      <c r="N24" s="96"/>
      <c r="O24" s="96"/>
    </row>
    <row r="25" spans="1:15" ht="36">
      <c r="A25" s="82" t="s">
        <v>300</v>
      </c>
      <c r="B25" s="82" t="s">
        <v>105</v>
      </c>
      <c r="C25" s="82" t="s">
        <v>397</v>
      </c>
      <c r="D25" s="82">
        <v>101206</v>
      </c>
      <c r="E25" s="83" t="s">
        <v>399</v>
      </c>
      <c r="F25" s="84">
        <f>ROUND(A5*1.5*0.3*2,2)</f>
        <v>211.5</v>
      </c>
      <c r="G25" s="85" t="s">
        <v>3</v>
      </c>
      <c r="H25" s="96">
        <f>H19</f>
        <v>9</v>
      </c>
      <c r="I25" s="96"/>
      <c r="J25" s="96">
        <f>ROUND(((0.8*H25)*'BDI Insumos'!$G$51/100)+0.8*H25,2)</f>
        <v>8.11</v>
      </c>
      <c r="K25" s="96">
        <f>ROUND(((0.2*H25)*'BDI Composição'!$G$51/100)+0.2*H25,2)</f>
        <v>2.16</v>
      </c>
      <c r="L25" s="182">
        <f t="shared" si="0"/>
        <v>10.27</v>
      </c>
      <c r="M25" s="96">
        <f>ROUND(J25*F25,2)</f>
        <v>1715.27</v>
      </c>
      <c r="N25" s="96">
        <f>O25-M25</f>
        <v>456.84000000000015</v>
      </c>
      <c r="O25" s="96">
        <f>ROUND(L25*F25,2)</f>
        <v>2172.11</v>
      </c>
    </row>
    <row r="26" spans="1:15" ht="20.25">
      <c r="A26" s="82" t="s">
        <v>301</v>
      </c>
      <c r="B26" s="82" t="s">
        <v>105</v>
      </c>
      <c r="C26" s="82" t="s">
        <v>397</v>
      </c>
      <c r="D26" s="105">
        <v>100574</v>
      </c>
      <c r="E26" s="106" t="s">
        <v>285</v>
      </c>
      <c r="F26" s="84">
        <f>ROUND(F25*1.3,2)</f>
        <v>274.95</v>
      </c>
      <c r="G26" s="85" t="s">
        <v>3</v>
      </c>
      <c r="H26" s="96">
        <f>H22</f>
        <v>1</v>
      </c>
      <c r="I26" s="96"/>
      <c r="J26" s="96">
        <f>ROUND(((0.8*H26)*'BDI Insumos'!$G$51/100)+0.8*H26,2)</f>
        <v>0.9</v>
      </c>
      <c r="K26" s="96">
        <f>ROUND(((0.2*H26)*'BDI Composição'!$G$51/100)+0.2*H26,2)</f>
        <v>0.24</v>
      </c>
      <c r="L26" s="182">
        <f t="shared" si="0"/>
        <v>1.14</v>
      </c>
      <c r="M26" s="96">
        <f>ROUND(J26*F26,2)</f>
        <v>247.46</v>
      </c>
      <c r="N26" s="96">
        <f>O26-M26</f>
        <v>65.97999999999999</v>
      </c>
      <c r="O26" s="96">
        <f>ROUND(L26*F26,2)</f>
        <v>313.44</v>
      </c>
    </row>
    <row r="27" spans="1:15" ht="20.25">
      <c r="A27" s="82" t="s">
        <v>302</v>
      </c>
      <c r="B27" s="82" t="s">
        <v>105</v>
      </c>
      <c r="C27" s="82" t="s">
        <v>397</v>
      </c>
      <c r="D27" s="179">
        <v>93590</v>
      </c>
      <c r="E27" s="186" t="s">
        <v>271</v>
      </c>
      <c r="F27" s="84">
        <f>ROUND(F25*1.3*I27,2)</f>
        <v>1099.8</v>
      </c>
      <c r="G27" s="85" t="s">
        <v>284</v>
      </c>
      <c r="H27" s="96">
        <f>H23</f>
        <v>0.65</v>
      </c>
      <c r="I27" s="96">
        <f>I23</f>
        <v>4</v>
      </c>
      <c r="J27" s="96">
        <f>ROUND(((0.8*H27)*'BDI Insumos'!$G$51/100)+0.8*H27,2)</f>
        <v>0.59</v>
      </c>
      <c r="K27" s="96">
        <f>ROUND(((0.2*H27)*'BDI Composição'!$G$51/100)+0.2*H27,2)</f>
        <v>0.16</v>
      </c>
      <c r="L27" s="182">
        <f t="shared" si="0"/>
        <v>0.75</v>
      </c>
      <c r="M27" s="96">
        <f>ROUND(J27*F27,2)</f>
        <v>648.88</v>
      </c>
      <c r="N27" s="96">
        <f>O27-M27</f>
        <v>175.97000000000003</v>
      </c>
      <c r="O27" s="96">
        <f>ROUND(L27*F27,2)</f>
        <v>824.85</v>
      </c>
    </row>
    <row r="28" spans="1:15" ht="36">
      <c r="A28" s="82" t="s">
        <v>303</v>
      </c>
      <c r="B28" s="82" t="s">
        <v>105</v>
      </c>
      <c r="C28" s="82" t="s">
        <v>397</v>
      </c>
      <c r="D28" s="180">
        <v>96399</v>
      </c>
      <c r="E28" s="181" t="s">
        <v>276</v>
      </c>
      <c r="F28" s="84">
        <f>F25</f>
        <v>211.5</v>
      </c>
      <c r="G28" s="85" t="s">
        <v>3</v>
      </c>
      <c r="H28" s="96">
        <v>60.01</v>
      </c>
      <c r="I28" s="96"/>
      <c r="J28" s="96">
        <f>ROUND(((0.8*H28)*'BDI Insumos'!$G$51/100)+0.8*H28,2)</f>
        <v>54.07</v>
      </c>
      <c r="K28" s="96">
        <f>ROUND(((0.2*H28)*'BDI Composição'!$G$51/100)+0.2*H28,2)</f>
        <v>14.38</v>
      </c>
      <c r="L28" s="182">
        <f t="shared" si="0"/>
        <v>68.45</v>
      </c>
      <c r="M28" s="96">
        <f>ROUND(J28*F28,2)</f>
        <v>11435.81</v>
      </c>
      <c r="N28" s="96">
        <f>O28-M28</f>
        <v>3041.370000000001</v>
      </c>
      <c r="O28" s="96">
        <f>ROUND(L28*F28,2)</f>
        <v>14477.18</v>
      </c>
    </row>
    <row r="29" spans="1:15" ht="20.25">
      <c r="A29" s="82" t="s">
        <v>304</v>
      </c>
      <c r="B29" s="82" t="s">
        <v>105</v>
      </c>
      <c r="C29" s="82" t="s">
        <v>397</v>
      </c>
      <c r="D29" s="82">
        <v>93590</v>
      </c>
      <c r="E29" s="181" t="s">
        <v>274</v>
      </c>
      <c r="F29" s="84">
        <f>ROUND(F28*I29,2)</f>
        <v>14805</v>
      </c>
      <c r="G29" s="85" t="s">
        <v>284</v>
      </c>
      <c r="H29" s="96">
        <v>0.65</v>
      </c>
      <c r="I29" s="96">
        <v>70</v>
      </c>
      <c r="J29" s="96">
        <f>ROUND(((0.8*H29)*'BDI Insumos'!$G$51/100)+0.8*H29,2)</f>
        <v>0.59</v>
      </c>
      <c r="K29" s="96">
        <f>ROUND(((0.2*H29)*'BDI Composição'!$G$51/100)+0.2*H29,2)</f>
        <v>0.16</v>
      </c>
      <c r="L29" s="182">
        <f t="shared" si="0"/>
        <v>0.75</v>
      </c>
      <c r="M29" s="96">
        <f>ROUND(J29*F29,2)</f>
        <v>8734.95</v>
      </c>
      <c r="N29" s="96">
        <f>O29-M29</f>
        <v>2368.7999999999993</v>
      </c>
      <c r="O29" s="96">
        <f>ROUND(L29*F29,2)</f>
        <v>11103.75</v>
      </c>
    </row>
    <row r="30" spans="1:15" ht="20.25">
      <c r="A30" s="185" t="s">
        <v>80</v>
      </c>
      <c r="B30" s="184" t="s">
        <v>305</v>
      </c>
      <c r="C30" s="184"/>
      <c r="D30" s="82"/>
      <c r="E30" s="83"/>
      <c r="F30" s="84"/>
      <c r="G30" s="85"/>
      <c r="H30" s="96"/>
      <c r="I30" s="96"/>
      <c r="J30" s="96"/>
      <c r="K30" s="96"/>
      <c r="L30" s="182"/>
      <c r="M30" s="96"/>
      <c r="N30" s="96"/>
      <c r="O30" s="96"/>
    </row>
    <row r="31" spans="1:15" ht="36">
      <c r="A31" s="82" t="s">
        <v>307</v>
      </c>
      <c r="B31" s="179" t="s">
        <v>105</v>
      </c>
      <c r="C31" s="179" t="s">
        <v>397</v>
      </c>
      <c r="D31" s="179">
        <v>94304</v>
      </c>
      <c r="E31" s="181" t="s">
        <v>275</v>
      </c>
      <c r="F31" s="84">
        <f>Volumes!L38</f>
        <v>807.02425</v>
      </c>
      <c r="G31" s="85" t="s">
        <v>3</v>
      </c>
      <c r="H31" s="182">
        <v>25</v>
      </c>
      <c r="I31" s="96"/>
      <c r="J31" s="96">
        <f>ROUND(((0.8*H31)*'BDI Insumos'!$G$51/100)+0.8*H31,2)</f>
        <v>22.52</v>
      </c>
      <c r="K31" s="96">
        <f>ROUND(((0.2*H31)*'BDI Composição'!$G$51/100)+0.2*H31,2)</f>
        <v>5.99</v>
      </c>
      <c r="L31" s="182">
        <f t="shared" si="0"/>
        <v>28.51</v>
      </c>
      <c r="M31" s="96">
        <f>ROUND(J31*F31,2)</f>
        <v>18174.19</v>
      </c>
      <c r="N31" s="96">
        <f>O31-M31</f>
        <v>4834.07</v>
      </c>
      <c r="O31" s="96">
        <f>ROUND(L31*F31,2)</f>
        <v>23008.26</v>
      </c>
    </row>
    <row r="32" spans="1:15" ht="36">
      <c r="A32" s="82" t="s">
        <v>308</v>
      </c>
      <c r="B32" s="179" t="s">
        <v>105</v>
      </c>
      <c r="C32" s="179" t="s">
        <v>397</v>
      </c>
      <c r="D32" s="179">
        <f>D23</f>
        <v>93590</v>
      </c>
      <c r="E32" s="186" t="s">
        <v>306</v>
      </c>
      <c r="F32" s="84">
        <f>ROUND(F31*1.3*I32,2)</f>
        <v>4196.53</v>
      </c>
      <c r="G32" s="85" t="s">
        <v>284</v>
      </c>
      <c r="H32" s="182">
        <f>H23</f>
        <v>0.65</v>
      </c>
      <c r="I32" s="96">
        <f>I23</f>
        <v>4</v>
      </c>
      <c r="J32" s="96">
        <f>ROUND(((0.8*H32)*'BDI Insumos'!$G$51/100)+0.8*H32,2)</f>
        <v>0.59</v>
      </c>
      <c r="K32" s="96">
        <f>ROUND(((0.2*H32)*'BDI Composição'!$G$51/100)+0.2*H32,2)</f>
        <v>0.16</v>
      </c>
      <c r="L32" s="182">
        <f t="shared" si="0"/>
        <v>0.75</v>
      </c>
      <c r="M32" s="96">
        <f>ROUND(J32*F32,2)</f>
        <v>2475.95</v>
      </c>
      <c r="N32" s="96">
        <f>O32-M32</f>
        <v>671.4500000000003</v>
      </c>
      <c r="O32" s="96">
        <f>ROUND(L32*F32,2)</f>
        <v>3147.4</v>
      </c>
    </row>
    <row r="33" spans="1:30" s="14" customFormat="1" ht="20.25">
      <c r="A33" s="99" t="s">
        <v>78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136">
        <f>O33/$O$78</f>
        <v>0.11712482462111133</v>
      </c>
      <c r="M33" s="100">
        <f>SUM(M19:M32)</f>
        <v>66327.16</v>
      </c>
      <c r="N33" s="100">
        <f>SUM(N19:N32)</f>
        <v>17727.03</v>
      </c>
      <c r="O33" s="100">
        <f>SUM(O19:O32)</f>
        <v>84054.18999999999</v>
      </c>
      <c r="P33" s="7"/>
      <c r="Q33" s="7"/>
      <c r="R33" s="7"/>
      <c r="S33" s="7"/>
      <c r="T33" s="7"/>
      <c r="U33" s="8"/>
      <c r="V33" s="8"/>
      <c r="W33" s="7"/>
      <c r="X33" s="7"/>
      <c r="Y33" s="7"/>
      <c r="Z33" s="7"/>
      <c r="AA33" s="7"/>
      <c r="AB33" s="7"/>
      <c r="AC33" s="7"/>
      <c r="AD33" s="7"/>
    </row>
    <row r="34" spans="1:30" s="15" customFormat="1" ht="20.25">
      <c r="A34" s="101">
        <v>3</v>
      </c>
      <c r="B34" s="102" t="s">
        <v>5</v>
      </c>
      <c r="C34" s="102"/>
      <c r="D34" s="102"/>
      <c r="E34" s="103"/>
      <c r="F34" s="103"/>
      <c r="G34" s="103"/>
      <c r="H34" s="173"/>
      <c r="I34" s="103"/>
      <c r="J34" s="103"/>
      <c r="K34" s="103"/>
      <c r="L34" s="103"/>
      <c r="M34" s="103"/>
      <c r="N34" s="103"/>
      <c r="O34" s="104"/>
      <c r="P34" s="7"/>
      <c r="Q34" s="7"/>
      <c r="R34" s="7"/>
      <c r="S34" s="7"/>
      <c r="T34" s="7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spans="1:15" ht="20.25">
      <c r="A35" s="82" t="s">
        <v>11</v>
      </c>
      <c r="B35" s="179" t="s">
        <v>105</v>
      </c>
      <c r="C35" s="179" t="s">
        <v>397</v>
      </c>
      <c r="D35" s="105" t="s">
        <v>286</v>
      </c>
      <c r="E35" s="247" t="s">
        <v>104</v>
      </c>
      <c r="F35" s="84">
        <f>ROUND((A5*Larguras!C28)+(E5*E6*Larguras!C28),2)</f>
        <v>2757.2</v>
      </c>
      <c r="G35" s="85" t="s">
        <v>4</v>
      </c>
      <c r="H35" s="182">
        <v>2.3</v>
      </c>
      <c r="I35" s="96"/>
      <c r="J35" s="96">
        <f>ROUND(((0.8*H35)*'BDI Insumos'!$G$51/100)+0.8*H35,2)</f>
        <v>2.07</v>
      </c>
      <c r="K35" s="96">
        <f>ROUND(((0.2*H35)*'BDI Composição'!$G$51/100)+0.2*H35,2)</f>
        <v>0.55</v>
      </c>
      <c r="L35" s="182">
        <f aca="true" t="shared" si="1" ref="L35:L43">ROUND(J35+K35,2)</f>
        <v>2.62</v>
      </c>
      <c r="M35" s="96">
        <f aca="true" t="shared" si="2" ref="M35:M43">ROUND(J35*F35,2)</f>
        <v>5707.4</v>
      </c>
      <c r="N35" s="96">
        <f aca="true" t="shared" si="3" ref="N35:N43">O35-M35</f>
        <v>1516.46</v>
      </c>
      <c r="O35" s="96">
        <f aca="true" t="shared" si="4" ref="O35:O43">ROUND(L35*F35,2)</f>
        <v>7223.86</v>
      </c>
    </row>
    <row r="36" spans="1:15" ht="36">
      <c r="A36" s="82" t="s">
        <v>12</v>
      </c>
      <c r="B36" s="179"/>
      <c r="C36" s="179" t="s">
        <v>397</v>
      </c>
      <c r="D36" s="179" t="s">
        <v>448</v>
      </c>
      <c r="E36" s="247" t="s">
        <v>277</v>
      </c>
      <c r="F36" s="84">
        <f>ROUND(A5*Larguras!C29*Larguras!C20+E5*E6*Larguras!C29*Larguras!C20,2)</f>
        <v>405.53</v>
      </c>
      <c r="G36" s="85" t="s">
        <v>3</v>
      </c>
      <c r="H36" s="182">
        <v>87.83</v>
      </c>
      <c r="I36" s="96"/>
      <c r="J36" s="96">
        <f>ROUND(((0.8*H36)*'BDI Insumos'!$G$51/100)+0.8*H36,2)</f>
        <v>79.13</v>
      </c>
      <c r="K36" s="96">
        <f>ROUND(((0.2*H36)*'BDI Composição'!$G$51/100)+0.2*H36,2)</f>
        <v>21.05</v>
      </c>
      <c r="L36" s="182">
        <f t="shared" si="1"/>
        <v>100.18</v>
      </c>
      <c r="M36" s="96">
        <f t="shared" si="2"/>
        <v>32089.59</v>
      </c>
      <c r="N36" s="96">
        <f t="shared" si="3"/>
        <v>8536.41</v>
      </c>
      <c r="O36" s="96">
        <f t="shared" si="4"/>
        <v>40626</v>
      </c>
    </row>
    <row r="37" spans="1:15" ht="20.25">
      <c r="A37" s="82" t="s">
        <v>13</v>
      </c>
      <c r="B37" s="179" t="s">
        <v>105</v>
      </c>
      <c r="C37" s="179" t="s">
        <v>397</v>
      </c>
      <c r="D37" s="179">
        <v>96396</v>
      </c>
      <c r="E37" s="181" t="s">
        <v>278</v>
      </c>
      <c r="F37" s="84">
        <f>ROUND(A5*Larguras!C31*Larguras!C21+E5*E6*Larguras!C31*Larguras!C21,2)</f>
        <v>389.06</v>
      </c>
      <c r="G37" s="85" t="s">
        <v>3</v>
      </c>
      <c r="H37" s="182">
        <v>112.9</v>
      </c>
      <c r="I37" s="96"/>
      <c r="J37" s="96">
        <f>ROUND(((0.8*H37)*'BDI Insumos'!$G$51/100)+0.8*H37,2)</f>
        <v>101.72</v>
      </c>
      <c r="K37" s="96">
        <f>ROUND(((0.2*H37)*'BDI Composição'!$G$51/100)+0.2*H37,2)</f>
        <v>27.06</v>
      </c>
      <c r="L37" s="182">
        <f t="shared" si="1"/>
        <v>128.78</v>
      </c>
      <c r="M37" s="96">
        <f t="shared" si="2"/>
        <v>39575.18</v>
      </c>
      <c r="N37" s="96">
        <f t="shared" si="3"/>
        <v>10527.970000000001</v>
      </c>
      <c r="O37" s="96">
        <f t="shared" si="4"/>
        <v>50103.15</v>
      </c>
    </row>
    <row r="38" spans="1:15" ht="20.25">
      <c r="A38" s="82" t="s">
        <v>14</v>
      </c>
      <c r="B38" s="179" t="s">
        <v>105</v>
      </c>
      <c r="C38" s="179" t="s">
        <v>397</v>
      </c>
      <c r="D38" s="179">
        <f>D23</f>
        <v>93590</v>
      </c>
      <c r="E38" s="181" t="s">
        <v>272</v>
      </c>
      <c r="F38" s="84">
        <f>ROUND((F37+F36)*I38,2)</f>
        <v>55621.3</v>
      </c>
      <c r="G38" s="85" t="s">
        <v>284</v>
      </c>
      <c r="H38" s="182">
        <v>0.96</v>
      </c>
      <c r="I38" s="96">
        <v>70</v>
      </c>
      <c r="J38" s="96">
        <f>ROUND(((0.8*H38)*'BDI Insumos'!$G$51/100)+0.8*H38,2)</f>
        <v>0.86</v>
      </c>
      <c r="K38" s="96">
        <f>ROUND(((0.2*H38)*'BDI Composição'!$G$51/100)+0.2*H38,2)</f>
        <v>0.23</v>
      </c>
      <c r="L38" s="182">
        <f t="shared" si="1"/>
        <v>1.09</v>
      </c>
      <c r="M38" s="96">
        <f t="shared" si="2"/>
        <v>47834.32</v>
      </c>
      <c r="N38" s="96">
        <f t="shared" si="3"/>
        <v>12792.900000000001</v>
      </c>
      <c r="O38" s="96">
        <f t="shared" si="4"/>
        <v>60627.22</v>
      </c>
    </row>
    <row r="39" spans="1:15" ht="20.25">
      <c r="A39" s="82" t="s">
        <v>15</v>
      </c>
      <c r="B39" s="179" t="s">
        <v>108</v>
      </c>
      <c r="C39" s="179" t="s">
        <v>397</v>
      </c>
      <c r="D39" s="179">
        <v>10330</v>
      </c>
      <c r="E39" s="181" t="s">
        <v>103</v>
      </c>
      <c r="F39" s="84">
        <f>ROUND(A5*Larguras!C32+E5*E6*Larguras!C32,2)</f>
        <v>2537.6</v>
      </c>
      <c r="G39" s="85" t="s">
        <v>4</v>
      </c>
      <c r="H39" s="182">
        <v>5.47</v>
      </c>
      <c r="I39" s="96"/>
      <c r="J39" s="96">
        <f>ROUND(((0.8*H39)*'BDI Insumos'!$G$51/100)+0.8*H39,2)</f>
        <v>4.93</v>
      </c>
      <c r="K39" s="96">
        <f>ROUND(((0.2*H39)*'BDI Composição'!$G$51/100)+0.2*H39,2)</f>
        <v>1.31</v>
      </c>
      <c r="L39" s="182">
        <f t="shared" si="1"/>
        <v>6.24</v>
      </c>
      <c r="M39" s="96">
        <f t="shared" si="2"/>
        <v>12510.37</v>
      </c>
      <c r="N39" s="96">
        <f t="shared" si="3"/>
        <v>3324.25</v>
      </c>
      <c r="O39" s="96">
        <f t="shared" si="4"/>
        <v>15834.62</v>
      </c>
    </row>
    <row r="40" spans="1:15" ht="20.25">
      <c r="A40" s="82" t="s">
        <v>16</v>
      </c>
      <c r="B40" s="179" t="s">
        <v>105</v>
      </c>
      <c r="C40" s="179" t="s">
        <v>397</v>
      </c>
      <c r="D40" s="179">
        <v>96402</v>
      </c>
      <c r="E40" s="181" t="s">
        <v>111</v>
      </c>
      <c r="F40" s="84">
        <f>B8</f>
        <v>2440</v>
      </c>
      <c r="G40" s="85" t="s">
        <v>4</v>
      </c>
      <c r="H40" s="182">
        <v>2.34</v>
      </c>
      <c r="I40" s="96"/>
      <c r="J40" s="96">
        <f>ROUND(((0.8*H40)*'BDI Insumos'!$G$51/100)+0.8*H40,2)</f>
        <v>2.11</v>
      </c>
      <c r="K40" s="96">
        <f>ROUND(((0.2*H40)*'BDI Composição'!$G$51/100)+0.2*H40,2)</f>
        <v>0.56</v>
      </c>
      <c r="L40" s="182">
        <f t="shared" si="1"/>
        <v>2.67</v>
      </c>
      <c r="M40" s="96">
        <f t="shared" si="2"/>
        <v>5148.4</v>
      </c>
      <c r="N40" s="96">
        <f t="shared" si="3"/>
        <v>1366.4000000000005</v>
      </c>
      <c r="O40" s="96">
        <f t="shared" si="4"/>
        <v>6514.8</v>
      </c>
    </row>
    <row r="41" spans="1:15" ht="36">
      <c r="A41" s="82" t="s">
        <v>17</v>
      </c>
      <c r="B41" s="179" t="s">
        <v>105</v>
      </c>
      <c r="C41" s="179" t="s">
        <v>397</v>
      </c>
      <c r="D41" s="82">
        <v>102332</v>
      </c>
      <c r="E41" s="181" t="s">
        <v>316</v>
      </c>
      <c r="F41" s="84">
        <f>ROUND(((F39*1.2/1000)+(F40*0.6/1000)+(F42*2.5*0.06))*I41,2)</f>
        <v>1596.64</v>
      </c>
      <c r="G41" s="85" t="s">
        <v>317</v>
      </c>
      <c r="H41" s="182">
        <v>1.36</v>
      </c>
      <c r="I41" s="96">
        <v>70</v>
      </c>
      <c r="J41" s="96">
        <f>ROUND(((0.8*H41)*'BDI Insumos'!$G$51/100)+0.8*H41,2)</f>
        <v>1.23</v>
      </c>
      <c r="K41" s="96">
        <f>ROUND(((0.2*H41)*'BDI Composição'!$G$51/100)+0.2*H41,2)</f>
        <v>0.33</v>
      </c>
      <c r="L41" s="182">
        <f t="shared" si="1"/>
        <v>1.56</v>
      </c>
      <c r="M41" s="96">
        <f t="shared" si="2"/>
        <v>1963.87</v>
      </c>
      <c r="N41" s="96">
        <f t="shared" si="3"/>
        <v>526.8900000000003</v>
      </c>
      <c r="O41" s="96">
        <f t="shared" si="4"/>
        <v>2490.76</v>
      </c>
    </row>
    <row r="42" spans="1:15" ht="36">
      <c r="A42" s="82" t="s">
        <v>21</v>
      </c>
      <c r="B42" s="179" t="s">
        <v>105</v>
      </c>
      <c r="C42" s="179" t="s">
        <v>397</v>
      </c>
      <c r="D42" s="179">
        <v>95995</v>
      </c>
      <c r="E42" s="108" t="s">
        <v>564</v>
      </c>
      <c r="F42" s="84">
        <f>ROUND(F40*Larguras!C22,2)</f>
        <v>122</v>
      </c>
      <c r="G42" s="85" t="s">
        <v>3</v>
      </c>
      <c r="H42" s="182">
        <v>1777.26</v>
      </c>
      <c r="I42" s="96"/>
      <c r="J42" s="96">
        <f>ROUND(((0.8*H42)*'BDI Insumos'!$G$51/100)+0.8*H42,2)</f>
        <v>1601.24</v>
      </c>
      <c r="K42" s="96">
        <f>ROUND(((0.2*H42)*'BDI Composição'!$G$51/100)+0.2*H42,2)</f>
        <v>425.9</v>
      </c>
      <c r="L42" s="182">
        <f t="shared" si="1"/>
        <v>2027.14</v>
      </c>
      <c r="M42" s="96">
        <f t="shared" si="2"/>
        <v>195351.28</v>
      </c>
      <c r="N42" s="96">
        <f t="shared" si="3"/>
        <v>51959.79999999999</v>
      </c>
      <c r="O42" s="96">
        <f t="shared" si="4"/>
        <v>247311.08</v>
      </c>
    </row>
    <row r="43" spans="1:15" ht="20.25">
      <c r="A43" s="82" t="s">
        <v>22</v>
      </c>
      <c r="B43" s="179" t="s">
        <v>105</v>
      </c>
      <c r="C43" s="179" t="s">
        <v>397</v>
      </c>
      <c r="D43" s="179">
        <v>93590</v>
      </c>
      <c r="E43" s="181" t="s">
        <v>315</v>
      </c>
      <c r="F43" s="84">
        <f>ROUND(F42*I43,2)</f>
        <v>8540</v>
      </c>
      <c r="G43" s="85" t="s">
        <v>3</v>
      </c>
      <c r="H43" s="182">
        <v>0.96</v>
      </c>
      <c r="I43" s="96">
        <f>I38</f>
        <v>70</v>
      </c>
      <c r="J43" s="96">
        <f>ROUND(((0.8*H43)*'BDI Insumos'!$G$51/100)+0.8*H43,2)</f>
        <v>0.86</v>
      </c>
      <c r="K43" s="96">
        <f>ROUND(((0.2*H43)*'BDI Composição'!$G$51/100)+0.2*H43,2)</f>
        <v>0.23</v>
      </c>
      <c r="L43" s="182">
        <f t="shared" si="1"/>
        <v>1.09</v>
      </c>
      <c r="M43" s="96">
        <f t="shared" si="2"/>
        <v>7344.4</v>
      </c>
      <c r="N43" s="96">
        <f t="shared" si="3"/>
        <v>1964.2000000000007</v>
      </c>
      <c r="O43" s="96">
        <f t="shared" si="4"/>
        <v>9308.6</v>
      </c>
    </row>
    <row r="44" spans="1:30" s="14" customFormat="1" ht="20.25">
      <c r="A44" s="99" t="s">
        <v>78</v>
      </c>
      <c r="B44" s="99"/>
      <c r="C44" s="99"/>
      <c r="D44" s="99"/>
      <c r="E44" s="99"/>
      <c r="F44" s="99"/>
      <c r="G44" s="99"/>
      <c r="H44" s="172"/>
      <c r="I44" s="99"/>
      <c r="J44" s="99"/>
      <c r="K44" s="99"/>
      <c r="L44" s="136">
        <f>O44/$O$78</f>
        <v>0.6131713168315351</v>
      </c>
      <c r="M44" s="100">
        <f>SUM(M35:M43)</f>
        <v>347524.81</v>
      </c>
      <c r="N44" s="100">
        <f>SUM(N35:N43)</f>
        <v>92515.27999999998</v>
      </c>
      <c r="O44" s="100">
        <f>SUM(O35:O43)</f>
        <v>440040.08999999997</v>
      </c>
      <c r="P44" s="7"/>
      <c r="Q44" s="7"/>
      <c r="R44" s="7"/>
      <c r="S44" s="7"/>
      <c r="T44" s="7"/>
      <c r="U44" s="8"/>
      <c r="V44" s="8"/>
      <c r="W44" s="7"/>
      <c r="X44" s="7"/>
      <c r="Y44" s="7"/>
      <c r="Z44" s="7"/>
      <c r="AA44" s="7"/>
      <c r="AB44" s="7"/>
      <c r="AC44" s="7"/>
      <c r="AD44" s="7"/>
    </row>
    <row r="45" spans="1:30" s="15" customFormat="1" ht="20.25">
      <c r="A45" s="101">
        <v>4</v>
      </c>
      <c r="B45" s="102" t="s">
        <v>39</v>
      </c>
      <c r="C45" s="102"/>
      <c r="D45" s="102"/>
      <c r="E45" s="103"/>
      <c r="F45" s="103"/>
      <c r="G45" s="103"/>
      <c r="H45" s="173"/>
      <c r="I45" s="103"/>
      <c r="J45" s="103"/>
      <c r="K45" s="103"/>
      <c r="L45" s="103"/>
      <c r="M45" s="103"/>
      <c r="N45" s="103"/>
      <c r="O45" s="104"/>
      <c r="P45" s="7"/>
      <c r="Q45" s="7"/>
      <c r="R45" s="7"/>
      <c r="S45" s="7"/>
      <c r="T45" s="7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15" ht="20.25">
      <c r="A46" s="82" t="s">
        <v>18</v>
      </c>
      <c r="B46" s="82" t="s">
        <v>105</v>
      </c>
      <c r="C46" s="179" t="s">
        <v>397</v>
      </c>
      <c r="D46" s="82">
        <v>90082</v>
      </c>
      <c r="E46" s="83" t="s">
        <v>543</v>
      </c>
      <c r="F46" s="84">
        <f>'Drenagem Pluvial'!Q28</f>
        <v>344.10599999999994</v>
      </c>
      <c r="G46" s="85" t="s">
        <v>3</v>
      </c>
      <c r="H46" s="182">
        <v>11.82</v>
      </c>
      <c r="I46" s="96"/>
      <c r="J46" s="96">
        <f>ROUND(((0.8*H46)*'BDI Insumos'!$G$51/100)+0.8*H46,2)</f>
        <v>10.65</v>
      </c>
      <c r="K46" s="96">
        <f>ROUND(((0.2*H46)*'BDI Composição'!$G$51/100)+0.2*H46,2)</f>
        <v>2.83</v>
      </c>
      <c r="L46" s="182">
        <f aca="true" t="shared" si="5" ref="L46:L60">ROUND(J46+K46,2)</f>
        <v>13.48</v>
      </c>
      <c r="M46" s="96">
        <f aca="true" t="shared" si="6" ref="M46:M66">ROUND(J46*F46,2)</f>
        <v>3664.73</v>
      </c>
      <c r="N46" s="96">
        <f aca="true" t="shared" si="7" ref="N46:N66">O46-M46</f>
        <v>973.8200000000002</v>
      </c>
      <c r="O46" s="96">
        <f aca="true" t="shared" si="8" ref="O46:O66">ROUND(L46*F46,2)</f>
        <v>4638.55</v>
      </c>
    </row>
    <row r="47" spans="1:15" ht="36">
      <c r="A47" s="82" t="s">
        <v>19</v>
      </c>
      <c r="B47" s="82"/>
      <c r="C47" s="179" t="s">
        <v>397</v>
      </c>
      <c r="D47" s="179" t="s">
        <v>421</v>
      </c>
      <c r="E47" s="181" t="s">
        <v>542</v>
      </c>
      <c r="F47" s="84">
        <f>'Drenagem Pluvial'!Q29</f>
        <v>172.05299999999997</v>
      </c>
      <c r="G47" s="85" t="s">
        <v>3</v>
      </c>
      <c r="H47" s="182">
        <f>Composições!H46</f>
        <v>31.2</v>
      </c>
      <c r="I47" s="96"/>
      <c r="J47" s="96">
        <f>ROUND(((0.8*H47)*'BDI Insumos'!$G$51/100)+0.8*H47,2)</f>
        <v>28.11</v>
      </c>
      <c r="K47" s="96">
        <f>ROUND(((0.2*H47)*'BDI Composição'!$G$51/100)+0.2*H47,2)</f>
        <v>7.48</v>
      </c>
      <c r="L47" s="182">
        <f t="shared" si="5"/>
        <v>35.59</v>
      </c>
      <c r="M47" s="96">
        <f>ROUND(J47*F47,2)</f>
        <v>4836.41</v>
      </c>
      <c r="N47" s="96">
        <f>O47-M47</f>
        <v>1286.96</v>
      </c>
      <c r="O47" s="96">
        <f>ROUND(L47*F47,2)</f>
        <v>6123.37</v>
      </c>
    </row>
    <row r="48" spans="1:15" ht="20.25">
      <c r="A48" s="82" t="s">
        <v>31</v>
      </c>
      <c r="B48" s="82" t="s">
        <v>109</v>
      </c>
      <c r="C48" s="82" t="s">
        <v>397</v>
      </c>
      <c r="D48" s="82">
        <v>4805765</v>
      </c>
      <c r="E48" s="83" t="s">
        <v>524</v>
      </c>
      <c r="F48" s="84">
        <f>'Drenagem Pluvial'!Q30</f>
        <v>57.35099999999999</v>
      </c>
      <c r="G48" s="85" t="s">
        <v>3</v>
      </c>
      <c r="H48" s="182">
        <v>177.68</v>
      </c>
      <c r="I48" s="96"/>
      <c r="J48" s="96">
        <f>ROUND(((0.8*H48)*'BDI Insumos'!$G$51/100)+0.8*H48,2)</f>
        <v>160.08</v>
      </c>
      <c r="K48" s="96">
        <f>ROUND(((0.2*H48)*'BDI Composição'!$G$51/100)+0.2*H48,2)</f>
        <v>42.58</v>
      </c>
      <c r="L48" s="182">
        <f t="shared" si="5"/>
        <v>202.66</v>
      </c>
      <c r="M48" s="96">
        <f t="shared" si="6"/>
        <v>9180.75</v>
      </c>
      <c r="N48" s="96">
        <f t="shared" si="7"/>
        <v>2442</v>
      </c>
      <c r="O48" s="96">
        <f t="shared" si="8"/>
        <v>11622.75</v>
      </c>
    </row>
    <row r="49" spans="1:15" ht="20.25">
      <c r="A49" s="82" t="s">
        <v>32</v>
      </c>
      <c r="B49" s="82" t="s">
        <v>105</v>
      </c>
      <c r="C49" s="179" t="s">
        <v>397</v>
      </c>
      <c r="D49" s="82">
        <f>D32</f>
        <v>93590</v>
      </c>
      <c r="E49" s="107" t="s">
        <v>271</v>
      </c>
      <c r="F49" s="84">
        <f>ROUND(F50*I49,2)</f>
        <v>972.16</v>
      </c>
      <c r="G49" s="85" t="s">
        <v>284</v>
      </c>
      <c r="H49" s="182">
        <v>0.96</v>
      </c>
      <c r="I49" s="96">
        <f>I23</f>
        <v>4</v>
      </c>
      <c r="J49" s="96">
        <f>ROUND(((0.8*H49)*'BDI Insumos'!$G$51/100)+0.8*H49,2)</f>
        <v>0.86</v>
      </c>
      <c r="K49" s="96">
        <f>ROUND(((0.2*H49)*'BDI Composição'!$G$51/100)+0.2*H49,2)</f>
        <v>0.23</v>
      </c>
      <c r="L49" s="182">
        <f t="shared" si="5"/>
        <v>1.09</v>
      </c>
      <c r="M49" s="96">
        <f t="shared" si="6"/>
        <v>836.06</v>
      </c>
      <c r="N49" s="96">
        <f t="shared" si="7"/>
        <v>223.59000000000015</v>
      </c>
      <c r="O49" s="96">
        <f t="shared" si="8"/>
        <v>1059.65</v>
      </c>
    </row>
    <row r="50" spans="1:30" ht="17.25" customHeight="1">
      <c r="A50" s="82" t="s">
        <v>33</v>
      </c>
      <c r="B50" s="82" t="s">
        <v>105</v>
      </c>
      <c r="C50" s="179" t="s">
        <v>397</v>
      </c>
      <c r="D50" s="178">
        <v>100574</v>
      </c>
      <c r="E50" s="106" t="str">
        <f>E22</f>
        <v>ESPALHAMENTO DE MATERIAL COM TRATOR DE ESTEIRAS</v>
      </c>
      <c r="F50" s="84">
        <f>'Drenagem Pluvial'!S31</f>
        <v>243.04</v>
      </c>
      <c r="G50" s="85" t="s">
        <v>3</v>
      </c>
      <c r="H50" s="182">
        <v>1.47</v>
      </c>
      <c r="I50" s="96"/>
      <c r="J50" s="96">
        <f>ROUND(((0.8*H50)*'BDI Insumos'!$G$51/100)+0.8*H50,2)</f>
        <v>1.32</v>
      </c>
      <c r="K50" s="96">
        <f>ROUND(((0.2*H50)*'BDI Composição'!$G$51/100)+0.2*H50,2)</f>
        <v>0.35</v>
      </c>
      <c r="L50" s="182">
        <f t="shared" si="5"/>
        <v>1.67</v>
      </c>
      <c r="M50" s="96">
        <f t="shared" si="6"/>
        <v>320.81</v>
      </c>
      <c r="N50" s="96">
        <f t="shared" si="7"/>
        <v>85.07</v>
      </c>
      <c r="O50" s="96">
        <f t="shared" si="8"/>
        <v>405.88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ht="18">
      <c r="A51" s="82" t="s">
        <v>34</v>
      </c>
      <c r="B51" s="82" t="s">
        <v>105</v>
      </c>
      <c r="C51" s="179" t="s">
        <v>397</v>
      </c>
      <c r="D51" s="82">
        <v>93360</v>
      </c>
      <c r="E51" s="107" t="s">
        <v>66</v>
      </c>
      <c r="F51" s="84">
        <f>'Drenagem Pluvial'!R31</f>
        <v>393.47999999999996</v>
      </c>
      <c r="G51" s="85" t="s">
        <v>3</v>
      </c>
      <c r="H51" s="182">
        <v>23.66</v>
      </c>
      <c r="I51" s="96"/>
      <c r="J51" s="96">
        <f>ROUND(((0.8*H51)*'BDI Insumos'!$G$51/100)+0.8*H51,2)</f>
        <v>21.32</v>
      </c>
      <c r="K51" s="96">
        <f>ROUND(((0.2*H51)*'BDI Composição'!$G$51/100)+0.2*H51,2)</f>
        <v>5.67</v>
      </c>
      <c r="L51" s="182">
        <f t="shared" si="5"/>
        <v>26.99</v>
      </c>
      <c r="M51" s="96">
        <f t="shared" si="6"/>
        <v>8388.99</v>
      </c>
      <c r="N51" s="96">
        <f t="shared" si="7"/>
        <v>2231.040000000001</v>
      </c>
      <c r="O51" s="96">
        <f t="shared" si="8"/>
        <v>10620.03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ht="18">
      <c r="A52" s="82" t="s">
        <v>35</v>
      </c>
      <c r="B52" s="82" t="s">
        <v>105</v>
      </c>
      <c r="C52" s="179" t="s">
        <v>397</v>
      </c>
      <c r="D52" s="82">
        <v>101619</v>
      </c>
      <c r="E52" s="83" t="s">
        <v>508</v>
      </c>
      <c r="F52" s="84">
        <f>'Drenagem Pluvial'!Q33</f>
        <v>27.88</v>
      </c>
      <c r="G52" s="85" t="s">
        <v>3</v>
      </c>
      <c r="H52" s="182">
        <v>210.14</v>
      </c>
      <c r="I52" s="96"/>
      <c r="J52" s="96">
        <f>ROUND(((0.8*H52)*'BDI Insumos'!$G$51/100)+0.8*H52,2)</f>
        <v>189.33</v>
      </c>
      <c r="K52" s="96">
        <f>ROUND(((0.2*H52)*'BDI Composição'!$G$51/100)+0.2*H52,2)</f>
        <v>50.36</v>
      </c>
      <c r="L52" s="182">
        <f t="shared" si="5"/>
        <v>239.69</v>
      </c>
      <c r="M52" s="96">
        <f>ROUND(J52*F52,2)</f>
        <v>5278.52</v>
      </c>
      <c r="N52" s="96">
        <f>O52-M52</f>
        <v>1404.04</v>
      </c>
      <c r="O52" s="96">
        <f>ROUND(L52*F52,2)</f>
        <v>6682.56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ht="18">
      <c r="A53" s="82" t="s">
        <v>36</v>
      </c>
      <c r="B53" s="82" t="s">
        <v>105</v>
      </c>
      <c r="C53" s="179" t="s">
        <v>397</v>
      </c>
      <c r="D53" s="82">
        <f>D49</f>
        <v>93590</v>
      </c>
      <c r="E53" s="83" t="s">
        <v>509</v>
      </c>
      <c r="F53" s="84">
        <f>'Drenagem Pluvial'!Q35</f>
        <v>2104.94</v>
      </c>
      <c r="G53" s="85" t="s">
        <v>3</v>
      </c>
      <c r="H53" s="182">
        <v>0.96</v>
      </c>
      <c r="I53" s="96">
        <f>I43</f>
        <v>70</v>
      </c>
      <c r="J53" s="96">
        <f>ROUND(((0.8*H53)*'BDI Insumos'!$G$51/100)+0.8*H53,2)</f>
        <v>0.86</v>
      </c>
      <c r="K53" s="96">
        <f>ROUND(((0.2*H53)*'BDI Composição'!$G$51/100)+0.2*H53,2)</f>
        <v>0.23</v>
      </c>
      <c r="L53" s="182">
        <f t="shared" si="5"/>
        <v>1.09</v>
      </c>
      <c r="M53" s="96">
        <f>ROUND(J53*F53,2)</f>
        <v>1810.25</v>
      </c>
      <c r="N53" s="96">
        <f>O53-M53</f>
        <v>484.1300000000001</v>
      </c>
      <c r="O53" s="96">
        <f>ROUND(L53*F53,2)</f>
        <v>2294.38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ht="18">
      <c r="A54" s="82" t="s">
        <v>37</v>
      </c>
      <c r="B54" s="82" t="s">
        <v>105</v>
      </c>
      <c r="C54" s="179" t="s">
        <v>281</v>
      </c>
      <c r="D54" s="82">
        <v>7785</v>
      </c>
      <c r="E54" s="107" t="s">
        <v>67</v>
      </c>
      <c r="F54" s="84">
        <v>58</v>
      </c>
      <c r="G54" s="85" t="s">
        <v>6</v>
      </c>
      <c r="H54" s="182">
        <v>59.67</v>
      </c>
      <c r="I54" s="96"/>
      <c r="J54" s="96">
        <f>ROUND(((0.8*H54)*'BDI Insumos'!$G$51/100)+0.8*H54,2)</f>
        <v>53.76</v>
      </c>
      <c r="K54" s="96">
        <f>ROUND(((0.2*H54)*'BDI Composição'!$G$51/100)+0.2*H54,2)</f>
        <v>14.3</v>
      </c>
      <c r="L54" s="182">
        <f t="shared" si="5"/>
        <v>68.06</v>
      </c>
      <c r="M54" s="96">
        <f t="shared" si="6"/>
        <v>3118.08</v>
      </c>
      <c r="N54" s="96">
        <f t="shared" si="7"/>
        <v>829.4000000000001</v>
      </c>
      <c r="O54" s="96">
        <f t="shared" si="8"/>
        <v>3947.48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ht="18">
      <c r="A55" s="82" t="s">
        <v>38</v>
      </c>
      <c r="B55" s="82" t="s">
        <v>105</v>
      </c>
      <c r="C55" s="179" t="s">
        <v>397</v>
      </c>
      <c r="D55" s="82">
        <v>92809</v>
      </c>
      <c r="E55" s="83" t="s">
        <v>69</v>
      </c>
      <c r="F55" s="84">
        <f>F54</f>
        <v>58</v>
      </c>
      <c r="G55" s="85" t="s">
        <v>6</v>
      </c>
      <c r="H55" s="182">
        <v>54.35</v>
      </c>
      <c r="I55" s="96"/>
      <c r="J55" s="96">
        <f>ROUND(((0.8*H55)*'BDI Insumos'!$G$51/100)+0.8*H55,2)</f>
        <v>48.97</v>
      </c>
      <c r="K55" s="96">
        <f>ROUND(((0.2*H55)*'BDI Composição'!$G$51/100)+0.2*H55,2)</f>
        <v>13.02</v>
      </c>
      <c r="L55" s="182">
        <f t="shared" si="5"/>
        <v>61.99</v>
      </c>
      <c r="M55" s="96">
        <f t="shared" si="6"/>
        <v>2840.26</v>
      </c>
      <c r="N55" s="96">
        <f t="shared" si="7"/>
        <v>755.1599999999999</v>
      </c>
      <c r="O55" s="96">
        <f t="shared" si="8"/>
        <v>3595.42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ht="18">
      <c r="A56" s="82" t="s">
        <v>81</v>
      </c>
      <c r="B56" s="82" t="s">
        <v>109</v>
      </c>
      <c r="C56" s="179" t="s">
        <v>397</v>
      </c>
      <c r="D56" s="82">
        <v>1600404</v>
      </c>
      <c r="E56" s="107" t="s">
        <v>515</v>
      </c>
      <c r="F56" s="84">
        <f>'Drenagem Pluvial'!M29</f>
        <v>127</v>
      </c>
      <c r="G56" s="85" t="s">
        <v>6</v>
      </c>
      <c r="H56" s="182">
        <v>9.26</v>
      </c>
      <c r="I56" s="96"/>
      <c r="J56" s="96">
        <f>ROUND(((0.8*H56)*'BDI Insumos'!$G$51/100)+0.8*H56,2)</f>
        <v>8.34</v>
      </c>
      <c r="K56" s="96">
        <f>ROUND(((0.2*H56)*'BDI Composição'!$G$51/100)+0.2*H56,2)</f>
        <v>2.22</v>
      </c>
      <c r="L56" s="182">
        <f t="shared" si="5"/>
        <v>10.56</v>
      </c>
      <c r="M56" s="96">
        <f t="shared" si="6"/>
        <v>1059.18</v>
      </c>
      <c r="N56" s="96">
        <f t="shared" si="7"/>
        <v>281.9399999999998</v>
      </c>
      <c r="O56" s="96">
        <f t="shared" si="8"/>
        <v>1341.12</v>
      </c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30" ht="18">
      <c r="A57" s="82" t="s">
        <v>82</v>
      </c>
      <c r="B57" s="82" t="s">
        <v>105</v>
      </c>
      <c r="C57" s="179" t="s">
        <v>281</v>
      </c>
      <c r="D57" s="82">
        <v>7793</v>
      </c>
      <c r="E57" s="107" t="s">
        <v>68</v>
      </c>
      <c r="F57" s="84">
        <f>'Drenagem Pluvial'!D32</f>
        <v>348</v>
      </c>
      <c r="G57" s="85" t="s">
        <v>6</v>
      </c>
      <c r="H57" s="182">
        <v>99.95</v>
      </c>
      <c r="I57" s="96"/>
      <c r="J57" s="96">
        <f>ROUND(((0.8*H57)*'BDI Insumos'!$G$51/100)+0.8*H57,2)</f>
        <v>90.05</v>
      </c>
      <c r="K57" s="96">
        <f>ROUND(((0.2*H57)*'BDI Composição'!$G$51/100)+0.2*H57,2)</f>
        <v>23.95</v>
      </c>
      <c r="L57" s="182">
        <f t="shared" si="5"/>
        <v>114</v>
      </c>
      <c r="M57" s="96">
        <f t="shared" si="6"/>
        <v>31337.4</v>
      </c>
      <c r="N57" s="96">
        <f t="shared" si="7"/>
        <v>8334.599999999999</v>
      </c>
      <c r="O57" s="96">
        <f t="shared" si="8"/>
        <v>39672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8" spans="1:30" ht="18">
      <c r="A58" s="82" t="s">
        <v>83</v>
      </c>
      <c r="B58" s="82" t="s">
        <v>105</v>
      </c>
      <c r="C58" s="179" t="s">
        <v>397</v>
      </c>
      <c r="D58" s="82">
        <v>92811</v>
      </c>
      <c r="E58" s="83" t="s">
        <v>70</v>
      </c>
      <c r="F58" s="84">
        <f>ROUND(F57,2)</f>
        <v>348</v>
      </c>
      <c r="G58" s="85" t="s">
        <v>6</v>
      </c>
      <c r="H58" s="182">
        <v>78.72</v>
      </c>
      <c r="I58" s="96"/>
      <c r="J58" s="96">
        <f>ROUND(((0.8*H58)*'BDI Insumos'!$G$51/100)+0.8*H58,2)</f>
        <v>70.92</v>
      </c>
      <c r="K58" s="96">
        <f>ROUND(((0.2*H58)*'BDI Composição'!$G$51/100)+0.2*H58,2)</f>
        <v>18.86</v>
      </c>
      <c r="L58" s="182">
        <f t="shared" si="5"/>
        <v>89.78</v>
      </c>
      <c r="M58" s="96">
        <f t="shared" si="6"/>
        <v>24680.16</v>
      </c>
      <c r="N58" s="96">
        <f t="shared" si="7"/>
        <v>6563.279999999999</v>
      </c>
      <c r="O58" s="96">
        <f t="shared" si="8"/>
        <v>31243.44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</row>
    <row r="59" spans="1:30" ht="18">
      <c r="A59" s="82" t="s">
        <v>500</v>
      </c>
      <c r="B59" s="82" t="s">
        <v>105</v>
      </c>
      <c r="C59" s="179" t="s">
        <v>397</v>
      </c>
      <c r="D59" s="82">
        <v>102738</v>
      </c>
      <c r="E59" s="83" t="s">
        <v>71</v>
      </c>
      <c r="F59" s="84">
        <f>'Drenagem Pluvial'!M36</f>
        <v>2</v>
      </c>
      <c r="G59" s="85" t="s">
        <v>20</v>
      </c>
      <c r="H59" s="182">
        <v>2285.64</v>
      </c>
      <c r="I59" s="96"/>
      <c r="J59" s="96">
        <f>ROUND(((0.8*H59)*'BDI Insumos'!$G$51/100)+0.8*H59,2)</f>
        <v>2059.27</v>
      </c>
      <c r="K59" s="96">
        <f>ROUND(((0.2*H59)*'BDI Composição'!$G$51/100)+0.2*H59,2)</f>
        <v>547.73</v>
      </c>
      <c r="L59" s="182">
        <f t="shared" si="5"/>
        <v>2607</v>
      </c>
      <c r="M59" s="96">
        <f t="shared" si="6"/>
        <v>4118.54</v>
      </c>
      <c r="N59" s="96">
        <f t="shared" si="7"/>
        <v>1095.46</v>
      </c>
      <c r="O59" s="96">
        <f t="shared" si="8"/>
        <v>5214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</row>
    <row r="60" spans="1:30" ht="36">
      <c r="A60" s="82" t="s">
        <v>501</v>
      </c>
      <c r="B60" s="82"/>
      <c r="C60" s="179" t="s">
        <v>397</v>
      </c>
      <c r="D60" s="85" t="str">
        <f>Composições!A65</f>
        <v>CP5</v>
      </c>
      <c r="E60" s="83" t="str">
        <f>Composições!B65</f>
        <v>CAIXA COLETORA 0,80x0,80x1,50M INTERNA, ALVENARIA COM FUNDO E TAMPA DE CONCRETO</v>
      </c>
      <c r="F60" s="84">
        <f>'Drenagem Pluvial'!M33</f>
        <v>15</v>
      </c>
      <c r="G60" s="85" t="s">
        <v>20</v>
      </c>
      <c r="H60" s="182">
        <f>Composições!H85</f>
        <v>1297.49</v>
      </c>
      <c r="I60" s="96"/>
      <c r="J60" s="96">
        <f>ROUND(((0.8*H60)*'BDI Insumos'!$G$51/100)+0.8*H60,2)</f>
        <v>1168.99</v>
      </c>
      <c r="K60" s="96">
        <f>ROUND(((0.2*H60)*'BDI Composição'!$G$51/100)+0.2*H60,2)</f>
        <v>310.93</v>
      </c>
      <c r="L60" s="182">
        <f t="shared" si="5"/>
        <v>1479.92</v>
      </c>
      <c r="M60" s="96">
        <f>ROUND(J60*F60,2)</f>
        <v>17534.85</v>
      </c>
      <c r="N60" s="96">
        <f>O60-M60</f>
        <v>4663.950000000001</v>
      </c>
      <c r="O60" s="96">
        <f>ROUND(L60*F60,2)</f>
        <v>22198.8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1:30" ht="18" hidden="1">
      <c r="A61" s="82"/>
      <c r="B61" s="82" t="s">
        <v>105</v>
      </c>
      <c r="C61" s="179" t="s">
        <v>281</v>
      </c>
      <c r="D61" s="82">
        <v>7763</v>
      </c>
      <c r="E61" s="83" t="s">
        <v>72</v>
      </c>
      <c r="F61" s="84">
        <v>0</v>
      </c>
      <c r="G61" s="85" t="s">
        <v>6</v>
      </c>
      <c r="H61" s="182">
        <v>215.14</v>
      </c>
      <c r="I61" s="96"/>
      <c r="J61" s="96">
        <f aca="true" t="shared" si="9" ref="J61:J66">ROUND(0.8*L61,2)</f>
        <v>193.83</v>
      </c>
      <c r="K61" s="96">
        <f aca="true" t="shared" si="10" ref="K61:K66">L61-J61</f>
        <v>48.45999999999998</v>
      </c>
      <c r="L61" s="182">
        <f aca="true" t="shared" si="11" ref="L61:L66">ROUND(IF(I61&gt;0,IF(C61="COMPOSIÇÃO",H61*($E$85+1),H61*($E$86+1)),IF(C61="COMPOSIÇÃO",H61*($E$85+1),H61*($E$86+1))),2)</f>
        <v>242.29</v>
      </c>
      <c r="M61" s="96">
        <f t="shared" si="6"/>
        <v>0</v>
      </c>
      <c r="N61" s="96">
        <f t="shared" si="7"/>
        <v>0</v>
      </c>
      <c r="O61" s="96">
        <f t="shared" si="8"/>
        <v>0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ht="18" hidden="1">
      <c r="A62" s="82"/>
      <c r="B62" s="82" t="s">
        <v>105</v>
      </c>
      <c r="C62" s="179" t="s">
        <v>397</v>
      </c>
      <c r="D62" s="82">
        <v>92813</v>
      </c>
      <c r="E62" s="83" t="s">
        <v>73</v>
      </c>
      <c r="F62" s="84">
        <v>0</v>
      </c>
      <c r="G62" s="85" t="s">
        <v>6</v>
      </c>
      <c r="H62" s="182">
        <v>77.06</v>
      </c>
      <c r="I62" s="96"/>
      <c r="J62" s="96">
        <f t="shared" si="9"/>
        <v>73.86</v>
      </c>
      <c r="K62" s="96">
        <f t="shared" si="10"/>
        <v>18.47</v>
      </c>
      <c r="L62" s="182">
        <f t="shared" si="11"/>
        <v>92.33</v>
      </c>
      <c r="M62" s="96">
        <f t="shared" si="6"/>
        <v>0</v>
      </c>
      <c r="N62" s="96">
        <f t="shared" si="7"/>
        <v>0</v>
      </c>
      <c r="O62" s="96">
        <f t="shared" si="8"/>
        <v>0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15" ht="20.25" hidden="1">
      <c r="A63" s="82"/>
      <c r="B63" s="82" t="s">
        <v>105</v>
      </c>
      <c r="C63" s="179" t="s">
        <v>397</v>
      </c>
      <c r="D63" s="82" t="s">
        <v>54</v>
      </c>
      <c r="E63" s="83" t="s">
        <v>430</v>
      </c>
      <c r="F63" s="84">
        <v>0</v>
      </c>
      <c r="G63" s="85" t="s">
        <v>20</v>
      </c>
      <c r="H63" s="182">
        <v>1794.22</v>
      </c>
      <c r="I63" s="96"/>
      <c r="J63" s="96">
        <f t="shared" si="9"/>
        <v>1719.86</v>
      </c>
      <c r="K63" s="96">
        <f t="shared" si="10"/>
        <v>429.97</v>
      </c>
      <c r="L63" s="182">
        <f t="shared" si="11"/>
        <v>2149.83</v>
      </c>
      <c r="M63" s="96">
        <f t="shared" si="6"/>
        <v>0</v>
      </c>
      <c r="N63" s="96">
        <f t="shared" si="7"/>
        <v>0</v>
      </c>
      <c r="O63" s="96">
        <f t="shared" si="8"/>
        <v>0</v>
      </c>
    </row>
    <row r="64" spans="1:30" ht="18" hidden="1">
      <c r="A64" s="82"/>
      <c r="B64" s="82"/>
      <c r="C64" s="179" t="s">
        <v>397</v>
      </c>
      <c r="D64" s="82" t="s">
        <v>282</v>
      </c>
      <c r="E64" s="107" t="s">
        <v>74</v>
      </c>
      <c r="F64" s="84">
        <v>0</v>
      </c>
      <c r="G64" s="85" t="s">
        <v>20</v>
      </c>
      <c r="H64" s="182">
        <v>1233.1</v>
      </c>
      <c r="I64" s="96"/>
      <c r="J64" s="96">
        <f t="shared" si="9"/>
        <v>1182</v>
      </c>
      <c r="K64" s="96">
        <f t="shared" si="10"/>
        <v>295.5</v>
      </c>
      <c r="L64" s="182">
        <f t="shared" si="11"/>
        <v>1477.5</v>
      </c>
      <c r="M64" s="96">
        <f t="shared" si="6"/>
        <v>0</v>
      </c>
      <c r="N64" s="96">
        <f t="shared" si="7"/>
        <v>0</v>
      </c>
      <c r="O64" s="96">
        <f t="shared" si="8"/>
        <v>0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</row>
    <row r="65" spans="1:30" ht="18" hidden="1">
      <c r="A65" s="82"/>
      <c r="B65" s="82"/>
      <c r="C65" s="179" t="s">
        <v>397</v>
      </c>
      <c r="D65" s="82" t="s">
        <v>283</v>
      </c>
      <c r="E65" s="107" t="s">
        <v>75</v>
      </c>
      <c r="F65" s="84">
        <v>0</v>
      </c>
      <c r="G65" s="85" t="s">
        <v>20</v>
      </c>
      <c r="H65" s="182">
        <v>1529.47</v>
      </c>
      <c r="I65" s="96"/>
      <c r="J65" s="96">
        <f t="shared" si="9"/>
        <v>1466.09</v>
      </c>
      <c r="K65" s="96">
        <f t="shared" si="10"/>
        <v>366.52</v>
      </c>
      <c r="L65" s="182">
        <f t="shared" si="11"/>
        <v>1832.61</v>
      </c>
      <c r="M65" s="96">
        <f t="shared" si="6"/>
        <v>0</v>
      </c>
      <c r="N65" s="96">
        <f t="shared" si="7"/>
        <v>0</v>
      </c>
      <c r="O65" s="96">
        <f t="shared" si="8"/>
        <v>0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1:30" ht="18" hidden="1">
      <c r="A66" s="82"/>
      <c r="B66" s="82"/>
      <c r="C66" s="179" t="s">
        <v>397</v>
      </c>
      <c r="D66" s="82" t="s">
        <v>449</v>
      </c>
      <c r="E66" s="107" t="s">
        <v>118</v>
      </c>
      <c r="F66" s="84">
        <v>0</v>
      </c>
      <c r="G66" s="85" t="s">
        <v>20</v>
      </c>
      <c r="H66" s="182">
        <f>Composições!H85</f>
        <v>1297.49</v>
      </c>
      <c r="I66" s="96"/>
      <c r="J66" s="96">
        <f t="shared" si="9"/>
        <v>1243.72</v>
      </c>
      <c r="K66" s="96">
        <f t="shared" si="10"/>
        <v>310.93000000000006</v>
      </c>
      <c r="L66" s="182">
        <f t="shared" si="11"/>
        <v>1554.65</v>
      </c>
      <c r="M66" s="96">
        <f t="shared" si="6"/>
        <v>0</v>
      </c>
      <c r="N66" s="96">
        <f t="shared" si="7"/>
        <v>0</v>
      </c>
      <c r="O66" s="96">
        <f t="shared" si="8"/>
        <v>0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1:30" s="14" customFormat="1" ht="20.25">
      <c r="A67" s="99" t="s">
        <v>78</v>
      </c>
      <c r="B67" s="99"/>
      <c r="C67" s="99"/>
      <c r="D67" s="99"/>
      <c r="E67" s="99"/>
      <c r="F67" s="99"/>
      <c r="G67" s="99"/>
      <c r="H67" s="172"/>
      <c r="I67" s="99"/>
      <c r="J67" s="99"/>
      <c r="K67" s="99"/>
      <c r="L67" s="136">
        <f>O67/$O$78</f>
        <v>0.20993551084445167</v>
      </c>
      <c r="M67" s="100">
        <f>SUM(M46:M66)</f>
        <v>119004.98999999999</v>
      </c>
      <c r="N67" s="100">
        <f>SUM(N46:N66)</f>
        <v>31654.44</v>
      </c>
      <c r="O67" s="100">
        <f>SUM(O46:O66)</f>
        <v>150659.43</v>
      </c>
      <c r="P67" s="7"/>
      <c r="Q67" s="7"/>
      <c r="R67" s="7"/>
      <c r="S67" s="7"/>
      <c r="T67" s="7"/>
      <c r="U67" s="8"/>
      <c r="V67" s="8"/>
      <c r="W67" s="7"/>
      <c r="X67" s="7"/>
      <c r="Y67" s="7"/>
      <c r="Z67" s="7"/>
      <c r="AA67" s="7"/>
      <c r="AB67" s="7"/>
      <c r="AC67" s="7"/>
      <c r="AD67" s="7"/>
    </row>
    <row r="68" spans="1:30" s="15" customFormat="1" ht="20.25">
      <c r="A68" s="101">
        <v>5</v>
      </c>
      <c r="B68" s="102" t="s">
        <v>40</v>
      </c>
      <c r="C68" s="102"/>
      <c r="D68" s="102"/>
      <c r="E68" s="103"/>
      <c r="F68" s="103"/>
      <c r="G68" s="103"/>
      <c r="H68" s="173"/>
      <c r="I68" s="103"/>
      <c r="J68" s="103"/>
      <c r="K68" s="103"/>
      <c r="L68" s="103"/>
      <c r="M68" s="103"/>
      <c r="N68" s="103"/>
      <c r="O68" s="104"/>
      <c r="P68" s="7"/>
      <c r="Q68" s="7"/>
      <c r="R68" s="7"/>
      <c r="S68" s="7"/>
      <c r="T68" s="7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15" ht="20.25">
      <c r="A69" s="82" t="s">
        <v>26</v>
      </c>
      <c r="B69" s="82" t="s">
        <v>109</v>
      </c>
      <c r="C69" s="82" t="s">
        <v>397</v>
      </c>
      <c r="D69" s="82">
        <v>5213401</v>
      </c>
      <c r="E69" s="83" t="s">
        <v>273</v>
      </c>
      <c r="F69" s="84">
        <f>Sinalização!S11</f>
        <v>28.2</v>
      </c>
      <c r="G69" s="85" t="s">
        <v>4</v>
      </c>
      <c r="H69" s="96">
        <v>27.62</v>
      </c>
      <c r="I69" s="96"/>
      <c r="J69" s="96">
        <f>ROUND(((0.8*H69)*'BDI Insumos'!$G$51/100)+0.8*H69,2)</f>
        <v>24.88</v>
      </c>
      <c r="K69" s="96">
        <f>ROUND(((0.2*H69)*'BDI Composição'!$G$51/100)+0.2*H69,2)</f>
        <v>6.62</v>
      </c>
      <c r="L69" s="182">
        <f aca="true" t="shared" si="12" ref="L69:L76">ROUND(J69+K69,2)</f>
        <v>31.5</v>
      </c>
      <c r="M69" s="96">
        <f aca="true" t="shared" si="13" ref="M69:M76">ROUND(J69*F69,2)</f>
        <v>701.62</v>
      </c>
      <c r="N69" s="96">
        <f aca="true" t="shared" si="14" ref="N69:N76">O69-M69</f>
        <v>186.67999999999995</v>
      </c>
      <c r="O69" s="96">
        <f aca="true" t="shared" si="15" ref="O69:O76">ROUND(L69*F69,2)</f>
        <v>888.3</v>
      </c>
    </row>
    <row r="70" spans="1:15" ht="20.25">
      <c r="A70" s="82" t="s">
        <v>27</v>
      </c>
      <c r="B70" s="82" t="s">
        <v>109</v>
      </c>
      <c r="C70" s="82" t="s">
        <v>397</v>
      </c>
      <c r="D70" s="82">
        <v>5213405</v>
      </c>
      <c r="E70" s="83" t="s">
        <v>287</v>
      </c>
      <c r="F70" s="84">
        <f>Sinalização!S15+Sinalização!S16</f>
        <v>54</v>
      </c>
      <c r="G70" s="85" t="s">
        <v>4</v>
      </c>
      <c r="H70" s="96">
        <v>39.73</v>
      </c>
      <c r="I70" s="96"/>
      <c r="J70" s="96">
        <f>ROUND(((0.8*H70)*'BDI Insumos'!$G$51/100)+0.8*H70,2)</f>
        <v>35.8</v>
      </c>
      <c r="K70" s="96">
        <f>ROUND(((0.2*H70)*'BDI Composição'!$G$51/100)+0.2*H70,2)</f>
        <v>9.52</v>
      </c>
      <c r="L70" s="182">
        <f t="shared" si="12"/>
        <v>45.32</v>
      </c>
      <c r="M70" s="96">
        <f t="shared" si="13"/>
        <v>1933.2</v>
      </c>
      <c r="N70" s="96">
        <f t="shared" si="14"/>
        <v>514.0800000000002</v>
      </c>
      <c r="O70" s="96">
        <f t="shared" si="15"/>
        <v>2447.28</v>
      </c>
    </row>
    <row r="71" spans="1:15" ht="36">
      <c r="A71" s="82" t="s">
        <v>550</v>
      </c>
      <c r="B71" s="82" t="s">
        <v>109</v>
      </c>
      <c r="C71" s="82" t="s">
        <v>397</v>
      </c>
      <c r="D71" s="82">
        <v>5213444</v>
      </c>
      <c r="E71" s="83" t="s">
        <v>288</v>
      </c>
      <c r="F71" s="84">
        <f>Sinalização!J10</f>
        <v>1</v>
      </c>
      <c r="G71" s="85" t="s">
        <v>20</v>
      </c>
      <c r="H71" s="96">
        <v>157.35</v>
      </c>
      <c r="I71" s="96"/>
      <c r="J71" s="96">
        <f>ROUND(((0.8*H71)*'BDI Insumos'!$G$51/100)+0.8*H71,2)</f>
        <v>141.77</v>
      </c>
      <c r="K71" s="96">
        <f>ROUND(((0.2*H71)*'BDI Composição'!$G$51/100)+0.2*H71,2)</f>
        <v>37.71</v>
      </c>
      <c r="L71" s="182">
        <f t="shared" si="12"/>
        <v>179.48</v>
      </c>
      <c r="M71" s="96">
        <f t="shared" si="13"/>
        <v>141.77</v>
      </c>
      <c r="N71" s="96">
        <f t="shared" si="14"/>
        <v>37.70999999999998</v>
      </c>
      <c r="O71" s="96">
        <f t="shared" si="15"/>
        <v>179.48</v>
      </c>
    </row>
    <row r="72" spans="1:15" ht="20.25">
      <c r="A72" s="82" t="s">
        <v>551</v>
      </c>
      <c r="B72" s="82" t="s">
        <v>109</v>
      </c>
      <c r="C72" s="82" t="s">
        <v>397</v>
      </c>
      <c r="D72" s="82">
        <v>5213855</v>
      </c>
      <c r="E72" s="83" t="s">
        <v>289</v>
      </c>
      <c r="F72" s="84">
        <f>Sinalização!I10</f>
        <v>1</v>
      </c>
      <c r="G72" s="85" t="s">
        <v>20</v>
      </c>
      <c r="H72" s="96">
        <v>280</v>
      </c>
      <c r="I72" s="96"/>
      <c r="J72" s="96">
        <f>ROUND(((0.8*H72)*'BDI Insumos'!$G$51/100)+0.8*H72,2)</f>
        <v>252.27</v>
      </c>
      <c r="K72" s="96">
        <f>ROUND(((0.2*H72)*'BDI Composição'!$G$51/100)+0.2*H72,2)</f>
        <v>67.1</v>
      </c>
      <c r="L72" s="182">
        <f t="shared" si="12"/>
        <v>319.37</v>
      </c>
      <c r="M72" s="96">
        <f t="shared" si="13"/>
        <v>252.27</v>
      </c>
      <c r="N72" s="96">
        <f t="shared" si="14"/>
        <v>67.1</v>
      </c>
      <c r="O72" s="96">
        <f t="shared" si="15"/>
        <v>319.37</v>
      </c>
    </row>
    <row r="73" spans="1:15" ht="20.25">
      <c r="A73" s="82" t="s">
        <v>552</v>
      </c>
      <c r="B73" s="82" t="s">
        <v>109</v>
      </c>
      <c r="C73" s="82" t="s">
        <v>397</v>
      </c>
      <c r="D73" s="82">
        <v>5213440</v>
      </c>
      <c r="E73" s="83" t="s">
        <v>293</v>
      </c>
      <c r="F73" s="84">
        <f>SUM(Sinalização!J11:J16)</f>
        <v>4</v>
      </c>
      <c r="G73" s="85" t="s">
        <v>20</v>
      </c>
      <c r="H73" s="96">
        <v>151.67</v>
      </c>
      <c r="I73" s="96"/>
      <c r="J73" s="96">
        <f>ROUND(((0.8*H73)*'BDI Insumos'!$G$51/100)+0.8*H73,2)</f>
        <v>136.65</v>
      </c>
      <c r="K73" s="96">
        <f>ROUND(((0.2*H73)*'BDI Composição'!$G$51/100)+0.2*H73,2)</f>
        <v>36.35</v>
      </c>
      <c r="L73" s="182">
        <f t="shared" si="12"/>
        <v>173</v>
      </c>
      <c r="M73" s="96">
        <f>ROUND(J73*F73,2)</f>
        <v>546.6</v>
      </c>
      <c r="N73" s="96">
        <f>O73-M73</f>
        <v>145.39999999999998</v>
      </c>
      <c r="O73" s="96">
        <f>ROUND(L73*F73,2)</f>
        <v>692</v>
      </c>
    </row>
    <row r="74" spans="1:15" ht="20.25">
      <c r="A74" s="82" t="s">
        <v>553</v>
      </c>
      <c r="B74" s="82" t="s">
        <v>109</v>
      </c>
      <c r="C74" s="82" t="s">
        <v>397</v>
      </c>
      <c r="D74" s="82">
        <v>5213855</v>
      </c>
      <c r="E74" s="83" t="s">
        <v>292</v>
      </c>
      <c r="F74" s="84">
        <f>SUM(Sinalização!I11:I16)</f>
        <v>4</v>
      </c>
      <c r="G74" s="85" t="s">
        <v>20</v>
      </c>
      <c r="H74" s="96">
        <v>250</v>
      </c>
      <c r="I74" s="96"/>
      <c r="J74" s="96">
        <f>ROUND(((0.8*H74)*'BDI Insumos'!$G$51/100)+0.8*H74,2)</f>
        <v>225.24</v>
      </c>
      <c r="K74" s="96">
        <f>ROUND(((0.2*H74)*'BDI Composição'!$G$51/100)+0.2*H74,2)</f>
        <v>59.91</v>
      </c>
      <c r="L74" s="182">
        <f t="shared" si="12"/>
        <v>285.15</v>
      </c>
      <c r="M74" s="96">
        <f>ROUND(J74*F73,2)</f>
        <v>900.96</v>
      </c>
      <c r="N74" s="96">
        <f t="shared" si="14"/>
        <v>239.63999999999987</v>
      </c>
      <c r="O74" s="96">
        <f>ROUND(L74*F73,2)</f>
        <v>1140.6</v>
      </c>
    </row>
    <row r="75" spans="1:15" ht="20.25">
      <c r="A75" s="82" t="s">
        <v>554</v>
      </c>
      <c r="B75" s="82" t="s">
        <v>109</v>
      </c>
      <c r="C75" s="82" t="s">
        <v>397</v>
      </c>
      <c r="D75" s="82">
        <v>5213464</v>
      </c>
      <c r="E75" s="83" t="s">
        <v>290</v>
      </c>
      <c r="F75" s="53">
        <f>SUM(Sinalização!I20:I36)</f>
        <v>3</v>
      </c>
      <c r="G75" s="85" t="s">
        <v>20</v>
      </c>
      <c r="H75" s="96">
        <v>160</v>
      </c>
      <c r="I75" s="96"/>
      <c r="J75" s="96">
        <f>ROUND(((0.8*H75)*'BDI Insumos'!$G$51/100)+0.8*H75,2)</f>
        <v>144.15</v>
      </c>
      <c r="K75" s="96">
        <f>ROUND(((0.2*H75)*'BDI Composição'!$G$51/100)+0.2*H75,2)</f>
        <v>38.34</v>
      </c>
      <c r="L75" s="182">
        <f t="shared" si="12"/>
        <v>182.49</v>
      </c>
      <c r="M75" s="96">
        <f>ROUND(J75*F74,2)</f>
        <v>576.6</v>
      </c>
      <c r="N75" s="96">
        <f t="shared" si="14"/>
        <v>153.36</v>
      </c>
      <c r="O75" s="96">
        <f>ROUND(L75*F74,2)</f>
        <v>729.96</v>
      </c>
    </row>
    <row r="76" spans="1:15" ht="20.25">
      <c r="A76" s="82" t="s">
        <v>555</v>
      </c>
      <c r="B76" s="82" t="s">
        <v>109</v>
      </c>
      <c r="C76" s="82" t="s">
        <v>397</v>
      </c>
      <c r="D76" s="82">
        <v>5213863</v>
      </c>
      <c r="E76" s="83" t="s">
        <v>291</v>
      </c>
      <c r="F76" s="84">
        <f>SUM(Sinalização!I20:I36)</f>
        <v>3</v>
      </c>
      <c r="G76" s="85" t="s">
        <v>20</v>
      </c>
      <c r="H76" s="96">
        <v>305.21</v>
      </c>
      <c r="I76" s="96"/>
      <c r="J76" s="96">
        <f>ROUND(((0.8*H76)*'BDI Insumos'!$G$51/100)+0.8*H76,2)</f>
        <v>274.98</v>
      </c>
      <c r="K76" s="96">
        <f>ROUND(((0.2*H76)*'BDI Composição'!$G$51/100)+0.2*H76,2)</f>
        <v>73.14</v>
      </c>
      <c r="L76" s="182">
        <f t="shared" si="12"/>
        <v>348.12</v>
      </c>
      <c r="M76" s="96">
        <f t="shared" si="13"/>
        <v>824.94</v>
      </c>
      <c r="N76" s="96">
        <f t="shared" si="14"/>
        <v>219.41999999999985</v>
      </c>
      <c r="O76" s="96">
        <f t="shared" si="15"/>
        <v>1044.36</v>
      </c>
    </row>
    <row r="77" spans="1:30" s="14" customFormat="1" ht="20.25">
      <c r="A77" s="99" t="s">
        <v>78</v>
      </c>
      <c r="B77" s="99"/>
      <c r="C77" s="99"/>
      <c r="D77" s="99"/>
      <c r="E77" s="99"/>
      <c r="F77" s="99"/>
      <c r="G77" s="99"/>
      <c r="H77" s="172"/>
      <c r="I77" s="99"/>
      <c r="J77" s="99"/>
      <c r="K77" s="99"/>
      <c r="L77" s="136">
        <f>O77/$O$78</f>
        <v>0.010369106093275147</v>
      </c>
      <c r="M77" s="100">
        <f>SUM(M69:M76)</f>
        <v>5877.960000000001</v>
      </c>
      <c r="N77" s="100">
        <f>SUM(N69:N76)</f>
        <v>1563.3899999999996</v>
      </c>
      <c r="O77" s="100">
        <f>SUM(O69:O76)</f>
        <v>7441.35</v>
      </c>
      <c r="P77" s="7"/>
      <c r="Q77" s="7"/>
      <c r="R77" s="7"/>
      <c r="S77" s="7"/>
      <c r="T77" s="7"/>
      <c r="U77" s="8"/>
      <c r="V77" s="8"/>
      <c r="W77" s="7"/>
      <c r="X77" s="7"/>
      <c r="Y77" s="7"/>
      <c r="Z77" s="7"/>
      <c r="AA77" s="7"/>
      <c r="AB77" s="7"/>
      <c r="AC77" s="7"/>
      <c r="AD77" s="7"/>
    </row>
    <row r="78" spans="1:30" s="15" customFormat="1" ht="20.25">
      <c r="A78" s="109" t="s">
        <v>28</v>
      </c>
      <c r="B78" s="109"/>
      <c r="C78" s="109"/>
      <c r="D78" s="109"/>
      <c r="E78" s="109"/>
      <c r="F78" s="109"/>
      <c r="G78" s="109"/>
      <c r="H78" s="174"/>
      <c r="I78" s="109"/>
      <c r="J78" s="109"/>
      <c r="K78" s="109"/>
      <c r="L78" s="141">
        <f>O78/$O$78</f>
        <v>1</v>
      </c>
      <c r="M78" s="110">
        <f>SUM(M11:M77)/2</f>
        <v>566739.5900000002</v>
      </c>
      <c r="N78" s="110">
        <f>SUM(N11:N77)/2</f>
        <v>150906.65000000002</v>
      </c>
      <c r="O78" s="110">
        <f>SUM(O11:O77)/2</f>
        <v>717646.2400000001</v>
      </c>
      <c r="Q78" s="7"/>
      <c r="R78" s="7"/>
      <c r="S78" s="7"/>
      <c r="T78" s="7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5" customFormat="1" ht="20.25">
      <c r="A79" s="35"/>
      <c r="B79" s="35"/>
      <c r="C79" s="35"/>
      <c r="D79" s="35"/>
      <c r="E79" s="35"/>
      <c r="F79" s="35"/>
      <c r="G79" s="35"/>
      <c r="H79" s="175"/>
      <c r="I79" s="35"/>
      <c r="J79" s="35"/>
      <c r="K79" s="35"/>
      <c r="L79" s="35"/>
      <c r="M79" s="19"/>
      <c r="N79" s="19"/>
      <c r="O79" s="19"/>
      <c r="P79" s="7"/>
      <c r="Q79" s="7"/>
      <c r="R79" s="7"/>
      <c r="S79" s="7"/>
      <c r="T79" s="7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5" customFormat="1" ht="20.25">
      <c r="A80" s="35" t="s">
        <v>85</v>
      </c>
      <c r="B80" s="35"/>
      <c r="C80" s="35"/>
      <c r="D80" s="35"/>
      <c r="E80" s="35"/>
      <c r="F80" s="35"/>
      <c r="G80" s="35"/>
      <c r="H80" s="175"/>
      <c r="I80" s="35"/>
      <c r="J80" s="35"/>
      <c r="K80" s="35"/>
      <c r="L80" s="35"/>
      <c r="M80" s="19"/>
      <c r="N80" s="19"/>
      <c r="O80" s="19"/>
      <c r="P80" s="7"/>
      <c r="Q80" s="7"/>
      <c r="R80" s="7"/>
      <c r="S80" s="7"/>
      <c r="T80" s="7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5" customFormat="1" ht="20.25">
      <c r="A81" s="135" t="s">
        <v>563</v>
      </c>
      <c r="B81" s="35"/>
      <c r="C81" s="35"/>
      <c r="D81" s="35"/>
      <c r="E81" s="35"/>
      <c r="F81" s="35"/>
      <c r="G81" s="35"/>
      <c r="H81" s="175"/>
      <c r="I81" s="35"/>
      <c r="J81" s="35"/>
      <c r="K81" s="35"/>
      <c r="L81" s="35"/>
      <c r="M81" s="19"/>
      <c r="N81" s="19"/>
      <c r="O81" s="19"/>
      <c r="P81" s="7"/>
      <c r="Q81" s="7"/>
      <c r="R81" s="7"/>
      <c r="S81" s="7"/>
      <c r="T81" s="7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5" customFormat="1" ht="20.25">
      <c r="A82" s="135" t="s">
        <v>562</v>
      </c>
      <c r="B82" s="35"/>
      <c r="C82" s="35"/>
      <c r="D82" s="35"/>
      <c r="E82" s="35"/>
      <c r="F82" s="35"/>
      <c r="G82" s="35"/>
      <c r="H82" s="175"/>
      <c r="I82" s="35"/>
      <c r="J82" s="35"/>
      <c r="K82" s="35"/>
      <c r="L82" s="35"/>
      <c r="M82" s="19"/>
      <c r="N82" s="19"/>
      <c r="O82" s="19"/>
      <c r="P82" s="7"/>
      <c r="Q82" s="7"/>
      <c r="R82" s="7"/>
      <c r="S82" s="7"/>
      <c r="T82" s="7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5" customFormat="1" ht="20.25">
      <c r="A83" s="135" t="s">
        <v>309</v>
      </c>
      <c r="B83" s="35"/>
      <c r="C83" s="35"/>
      <c r="D83" s="35"/>
      <c r="E83" s="35"/>
      <c r="F83" s="42" t="s">
        <v>86</v>
      </c>
      <c r="G83" s="42"/>
      <c r="H83" s="176"/>
      <c r="I83" s="42" t="s">
        <v>548</v>
      </c>
      <c r="J83" s="42"/>
      <c r="K83" s="42"/>
      <c r="L83" s="42"/>
      <c r="M83" s="43"/>
      <c r="N83" s="19"/>
      <c r="O83" s="19"/>
      <c r="P83" s="7"/>
      <c r="Q83" s="7"/>
      <c r="R83" s="7"/>
      <c r="S83" s="7"/>
      <c r="T83" s="7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5" customFormat="1" ht="20.25">
      <c r="A84" s="35"/>
      <c r="B84" s="35"/>
      <c r="C84" s="35"/>
      <c r="D84" s="35"/>
      <c r="E84" s="35"/>
      <c r="F84" s="35" t="s">
        <v>87</v>
      </c>
      <c r="G84" s="35"/>
      <c r="H84" s="175"/>
      <c r="I84" s="35" t="s">
        <v>549</v>
      </c>
      <c r="J84" s="35"/>
      <c r="K84" s="35"/>
      <c r="L84" s="35"/>
      <c r="M84" s="19"/>
      <c r="N84" s="19"/>
      <c r="O84" s="19"/>
      <c r="P84" s="7"/>
      <c r="Q84" s="7"/>
      <c r="R84" s="7"/>
      <c r="S84" s="7"/>
      <c r="T84" s="7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5" customFormat="1" ht="20.25">
      <c r="A85" s="19" t="s">
        <v>55</v>
      </c>
      <c r="B85" s="44"/>
      <c r="C85" s="44"/>
      <c r="D85" s="45"/>
      <c r="E85" s="246">
        <f>ROUND('BDI Composição - declaração'!D30/100,4)</f>
        <v>0.1982</v>
      </c>
      <c r="F85" s="35"/>
      <c r="G85" s="35"/>
      <c r="H85" s="175"/>
      <c r="I85" s="35"/>
      <c r="J85" s="35"/>
      <c r="K85" s="35"/>
      <c r="L85" s="35"/>
      <c r="M85" s="19"/>
      <c r="N85" s="19"/>
      <c r="O85" s="19"/>
      <c r="P85" s="7"/>
      <c r="Q85" s="7"/>
      <c r="R85" s="7"/>
      <c r="S85" s="7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5" ht="20.25">
      <c r="A86" s="19" t="s">
        <v>398</v>
      </c>
      <c r="B86" s="44"/>
      <c r="E86" s="246">
        <f>'BDI Insumos - declaração'!D30/100</f>
        <v>0.1262</v>
      </c>
    </row>
  </sheetData>
  <sheetProtection/>
  <mergeCells count="15">
    <mergeCell ref="A4:O4"/>
    <mergeCell ref="G9:G10"/>
    <mergeCell ref="J9:L9"/>
    <mergeCell ref="A6:D6"/>
    <mergeCell ref="A7:D7"/>
    <mergeCell ref="M6:O6"/>
    <mergeCell ref="M9:O9"/>
    <mergeCell ref="A9:A10"/>
    <mergeCell ref="B9:D9"/>
    <mergeCell ref="E9:E10"/>
    <mergeCell ref="M7:O7"/>
    <mergeCell ref="A5:D5"/>
    <mergeCell ref="F9:F10"/>
    <mergeCell ref="H9:H10"/>
    <mergeCell ref="I9:I10"/>
  </mergeCells>
  <printOptions/>
  <pageMargins left="0.3937007874015748" right="0.3937007874015748" top="0.7874015748031497" bottom="1.1811023622047245" header="0" footer="0"/>
  <pageSetup fitToHeight="0" fitToWidth="1" horizontalDpi="300" verticalDpi="300" orientation="landscape" paperSize="9" scale="52" r:id="rId1"/>
  <rowBreaks count="1" manualBreakCount="1">
    <brk id="32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2"/>
  <dimension ref="A1:M64"/>
  <sheetViews>
    <sheetView view="pageBreakPreview" zoomScale="130" zoomScaleNormal="130" zoomScaleSheetLayoutView="130" zoomScalePageLayoutView="0" workbookViewId="0" topLeftCell="A22">
      <selection activeCell="A36" sqref="A36:C36"/>
    </sheetView>
  </sheetViews>
  <sheetFormatPr defaultColWidth="9.140625" defaultRowHeight="12.75"/>
  <cols>
    <col min="1" max="2" width="6.00390625" style="387" customWidth="1"/>
    <col min="3" max="3" width="34.7109375" style="387" customWidth="1"/>
    <col min="4" max="4" width="11.28125" style="387" customWidth="1"/>
    <col min="5" max="5" width="11.00390625" style="388" customWidth="1"/>
    <col min="6" max="6" width="9.140625" style="387" customWidth="1"/>
    <col min="7" max="7" width="1.57421875" style="387" customWidth="1"/>
    <col min="8" max="13" width="9.140625" style="387" customWidth="1"/>
    <col min="14" max="16384" width="9.140625" style="387" customWidth="1"/>
  </cols>
  <sheetData>
    <row r="1" spans="1:6" ht="31.5" customHeight="1">
      <c r="A1" s="699" t="s">
        <v>254</v>
      </c>
      <c r="B1" s="699"/>
      <c r="C1" s="699"/>
      <c r="D1" s="699"/>
      <c r="E1" s="699"/>
      <c r="F1" s="699"/>
    </row>
    <row r="2" ht="24.75" customHeight="1"/>
    <row r="3" spans="1:6" ht="73.5" customHeight="1">
      <c r="A3" s="700" t="str">
        <f>"         A "&amp;'BDI Composição'!G6&amp;" "&amp;'BDI Composição'!$F$6&amp;" declara para os devidos e necessários fins que na elaboração do orçamento referente ao objeto '"&amp;'BDI Composição'!$E$9&amp;"', CT nº "&amp;'BDI Composição'!$E$8&amp;", foi adotado percentual de BDI de "&amp;D30&amp;" % (conforme planilha da composição analítica abaixo) e encargos "&amp;'BDI Composição'!$E$10&amp;" em conformidade com o estabelecido no SINAPI."</f>
        <v>         A Prefeitura Municipal de Fontoura Xavier declara para os devidos e necessários fins que na elaboração do orçamento referente ao objeto ''Obra: Pavimentação Asfáltica da Avenida 25 de Abril'', CT nº , foi adotado percentual de BDI de 19,82 % (conforme planilha da composição analítica abaixo) e encargos sem desoneração em conformidade com o estabelecido no SINAPI.</v>
      </c>
      <c r="B3" s="700"/>
      <c r="C3" s="700"/>
      <c r="D3" s="700"/>
      <c r="E3" s="700"/>
      <c r="F3" s="700"/>
    </row>
    <row r="4" spans="1:6" ht="34.5" customHeight="1">
      <c r="A4" s="700" t="str">
        <f>"         Declaramos ainda que a alíquota de ISSQN no município é de "&amp;'BDI Composição'!$E$21&amp;"%, a incidir sobre o "&amp;'BDI Composição'!$E$22&amp;"."</f>
        <v>         Declaramos ainda que a alíquota de ISSQN no município é de 2%, a incidir sobre o valor da mão de obra.</v>
      </c>
      <c r="B4" s="700"/>
      <c r="C4" s="700"/>
      <c r="D4" s="700"/>
      <c r="E4" s="700"/>
      <c r="F4" s="700"/>
    </row>
    <row r="5" spans="1:6" ht="15" customHeight="1">
      <c r="A5" s="701" t="str">
        <f>IF('BDI Composição'!E22="valor total da obra","","Para a obra em questão é considerada a relação de "&amp;'BDI Composição'!$E$23&amp;"% é mão de obra e "&amp;100-'BDI Composição'!$E$23&amp;"% é material.")</f>
        <v>Para a obra em questão é considerada a relação de 20% é mão de obra e 80% é material.</v>
      </c>
      <c r="B5" s="701"/>
      <c r="C5" s="701"/>
      <c r="D5" s="701"/>
      <c r="E5" s="701"/>
      <c r="F5" s="701"/>
    </row>
    <row r="6" spans="1:6" ht="15" customHeight="1">
      <c r="A6" s="702" t="str">
        <f>"         O regime de execução da obra será "&amp;'BDI Composição'!E19&amp;"."</f>
        <v>         O regime de execução da obra será empreitada por preço global.</v>
      </c>
      <c r="B6" s="702"/>
      <c r="C6" s="702"/>
      <c r="D6" s="702"/>
      <c r="E6" s="702"/>
      <c r="F6" s="702"/>
    </row>
    <row r="7" spans="1:6" ht="33.75" customHeight="1">
      <c r="A7" s="703" t="str">
        <f>"Oportunamente, declaramos que a opção de orçamento considerando os encargos "&amp;'BDI Composição'!E10&amp;"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B7" s="703"/>
      <c r="C7" s="703"/>
      <c r="D7" s="703"/>
      <c r="E7" s="703"/>
      <c r="F7" s="703"/>
    </row>
    <row r="8" spans="1:6" ht="38.25" customHeight="1" thickBot="1">
      <c r="A8" s="432"/>
      <c r="B8" s="432"/>
      <c r="C8" s="432"/>
      <c r="D8" s="432"/>
      <c r="E8" s="433"/>
      <c r="F8" s="433"/>
    </row>
    <row r="9" spans="1:13" ht="27.75" customHeight="1" thickBot="1">
      <c r="A9" s="692" t="s">
        <v>255</v>
      </c>
      <c r="B9" s="693"/>
      <c r="C9" s="693"/>
      <c r="D9" s="694"/>
      <c r="E9" s="434"/>
      <c r="F9" s="434"/>
      <c r="H9" s="389"/>
      <c r="I9" s="435"/>
      <c r="J9" s="389"/>
      <c r="K9" s="389"/>
      <c r="L9" s="389"/>
      <c r="M9" s="389"/>
    </row>
    <row r="10" spans="1:13" ht="6" customHeight="1" thickBot="1">
      <c r="A10" s="436"/>
      <c r="B10" s="393"/>
      <c r="C10" s="393"/>
      <c r="D10" s="437"/>
      <c r="E10" s="438"/>
      <c r="F10" s="439"/>
      <c r="H10" s="389"/>
      <c r="I10" s="389"/>
      <c r="J10" s="389"/>
      <c r="K10" s="389"/>
      <c r="L10" s="389"/>
      <c r="M10" s="389"/>
    </row>
    <row r="11" spans="1:13" ht="24" customHeight="1" thickBot="1">
      <c r="A11" s="665" t="s">
        <v>256</v>
      </c>
      <c r="B11" s="666"/>
      <c r="C11" s="695" t="str">
        <f>'BDI Composição'!D31</f>
        <v>2 - Construção de Rodovias e Ferrovias</v>
      </c>
      <c r="D11" s="696"/>
      <c r="E11" s="440"/>
      <c r="F11" s="440"/>
      <c r="H11" s="389"/>
      <c r="I11" s="389"/>
      <c r="J11" s="389"/>
      <c r="K11" s="389"/>
      <c r="L11" s="389"/>
      <c r="M11" s="389"/>
    </row>
    <row r="12" spans="1:13" ht="5.25" customHeight="1" thickBot="1">
      <c r="A12" s="436"/>
      <c r="B12" s="393"/>
      <c r="C12" s="393"/>
      <c r="D12" s="437"/>
      <c r="E12" s="438"/>
      <c r="F12" s="439"/>
      <c r="H12" s="389"/>
      <c r="I12" s="389"/>
      <c r="J12" s="389"/>
      <c r="K12" s="389"/>
      <c r="L12" s="389"/>
      <c r="M12" s="389"/>
    </row>
    <row r="13" spans="1:13" ht="14.25" thickBot="1">
      <c r="A13" s="669" t="s">
        <v>184</v>
      </c>
      <c r="B13" s="670"/>
      <c r="C13" s="670"/>
      <c r="D13" s="410" t="s">
        <v>185</v>
      </c>
      <c r="E13" s="441"/>
      <c r="F13" s="441"/>
      <c r="H13" s="389"/>
      <c r="I13" s="389" t="s">
        <v>188</v>
      </c>
      <c r="J13" s="389"/>
      <c r="K13" s="389"/>
      <c r="L13" s="389" t="s">
        <v>189</v>
      </c>
      <c r="M13" s="389" t="s">
        <v>187</v>
      </c>
    </row>
    <row r="14" spans="1:13" ht="13.5">
      <c r="A14" s="442" t="s">
        <v>190</v>
      </c>
      <c r="B14" s="697" t="s">
        <v>191</v>
      </c>
      <c r="C14" s="698"/>
      <c r="D14" s="443">
        <f>'BDI Composição'!G34</f>
        <v>4.67</v>
      </c>
      <c r="E14" s="444"/>
      <c r="F14" s="444"/>
      <c r="H14" s="389"/>
      <c r="I14" s="389" t="s">
        <v>183</v>
      </c>
      <c r="J14" s="389"/>
      <c r="K14" s="389" t="s">
        <v>192</v>
      </c>
      <c r="L14" s="414">
        <v>3</v>
      </c>
      <c r="M14" s="414">
        <v>5.5</v>
      </c>
    </row>
    <row r="15" spans="1:13" ht="13.5">
      <c r="A15" s="445" t="s">
        <v>193</v>
      </c>
      <c r="B15" s="649" t="s">
        <v>194</v>
      </c>
      <c r="C15" s="651"/>
      <c r="D15" s="443">
        <f>'BDI Composição'!G35</f>
        <v>0.74</v>
      </c>
      <c r="E15" s="444"/>
      <c r="F15" s="444"/>
      <c r="H15" s="389"/>
      <c r="I15" s="389" t="s">
        <v>195</v>
      </c>
      <c r="J15" s="389"/>
      <c r="K15" s="389" t="s">
        <v>196</v>
      </c>
      <c r="L15" s="414">
        <v>0.8</v>
      </c>
      <c r="M15" s="414">
        <v>1</v>
      </c>
    </row>
    <row r="16" spans="1:13" ht="13.5">
      <c r="A16" s="445" t="s">
        <v>197</v>
      </c>
      <c r="B16" s="649" t="s">
        <v>198</v>
      </c>
      <c r="C16" s="651"/>
      <c r="D16" s="443">
        <f>'BDI Composição'!G36</f>
        <v>0.56</v>
      </c>
      <c r="E16" s="444"/>
      <c r="F16" s="444"/>
      <c r="H16" s="389"/>
      <c r="I16" s="389" t="s">
        <v>199</v>
      </c>
      <c r="J16" s="389"/>
      <c r="K16" s="389" t="s">
        <v>200</v>
      </c>
      <c r="L16" s="414">
        <v>0.97</v>
      </c>
      <c r="M16" s="414">
        <v>1.27</v>
      </c>
    </row>
    <row r="17" spans="1:13" ht="13.5">
      <c r="A17" s="445" t="s">
        <v>201</v>
      </c>
      <c r="B17" s="649" t="s">
        <v>257</v>
      </c>
      <c r="C17" s="651"/>
      <c r="D17" s="443">
        <f>'BDI Composição'!G37</f>
        <v>1.11</v>
      </c>
      <c r="E17" s="444"/>
      <c r="F17" s="444"/>
      <c r="H17" s="389"/>
      <c r="I17" s="389" t="s">
        <v>203</v>
      </c>
      <c r="J17" s="389"/>
      <c r="K17" s="389" t="s">
        <v>204</v>
      </c>
      <c r="L17" s="414">
        <v>0.59</v>
      </c>
      <c r="M17" s="414">
        <v>1.39</v>
      </c>
    </row>
    <row r="18" spans="1:13" ht="13.5">
      <c r="A18" s="445" t="s">
        <v>205</v>
      </c>
      <c r="B18" s="649" t="s">
        <v>206</v>
      </c>
      <c r="C18" s="651"/>
      <c r="D18" s="443">
        <f>'BDI Composição'!G38</f>
        <v>7.3</v>
      </c>
      <c r="E18" s="444"/>
      <c r="F18" s="444"/>
      <c r="H18" s="389"/>
      <c r="I18" s="389" t="s">
        <v>207</v>
      </c>
      <c r="J18" s="389"/>
      <c r="K18" s="389" t="s">
        <v>208</v>
      </c>
      <c r="L18" s="414">
        <v>6.16</v>
      </c>
      <c r="M18" s="414">
        <v>8.96</v>
      </c>
    </row>
    <row r="19" spans="1:13" ht="13.5">
      <c r="A19" s="445" t="s">
        <v>209</v>
      </c>
      <c r="B19" s="649" t="s">
        <v>210</v>
      </c>
      <c r="C19" s="651"/>
      <c r="D19" s="443">
        <f>SUM(D20:D23)</f>
        <v>4.05</v>
      </c>
      <c r="E19" s="691"/>
      <c r="F19" s="691"/>
      <c r="H19" s="389"/>
      <c r="I19" s="389"/>
      <c r="J19" s="389"/>
      <c r="K19" s="389" t="s">
        <v>212</v>
      </c>
      <c r="L19" s="414">
        <v>3.8</v>
      </c>
      <c r="M19" s="414">
        <v>4.67</v>
      </c>
    </row>
    <row r="20" spans="1:13" ht="13.5">
      <c r="A20" s="445"/>
      <c r="B20" s="416"/>
      <c r="C20" s="418" t="s">
        <v>96</v>
      </c>
      <c r="D20" s="446">
        <f>'BDI Composição'!G40</f>
        <v>0.65</v>
      </c>
      <c r="E20" s="691"/>
      <c r="F20" s="691"/>
      <c r="H20" s="389"/>
      <c r="I20" s="389"/>
      <c r="J20" s="389"/>
      <c r="K20" s="389"/>
      <c r="L20" s="414"/>
      <c r="M20" s="414"/>
    </row>
    <row r="21" spans="1:13" ht="13.5">
      <c r="A21" s="445"/>
      <c r="B21" s="416"/>
      <c r="C21" s="418" t="s">
        <v>97</v>
      </c>
      <c r="D21" s="446">
        <f>'BDI Composição'!G41</f>
        <v>3</v>
      </c>
      <c r="E21" s="691"/>
      <c r="F21" s="691"/>
      <c r="H21" s="389"/>
      <c r="I21" s="389"/>
      <c r="J21" s="389"/>
      <c r="K21" s="389"/>
      <c r="L21" s="414"/>
      <c r="M21" s="414"/>
    </row>
    <row r="22" spans="1:13" ht="13.5">
      <c r="A22" s="445"/>
      <c r="B22" s="416"/>
      <c r="C22" s="418" t="s">
        <v>258</v>
      </c>
      <c r="D22" s="446">
        <f>'BDI Composição'!G42</f>
        <v>0.4</v>
      </c>
      <c r="E22" s="691"/>
      <c r="F22" s="691"/>
      <c r="H22" s="389"/>
      <c r="I22" s="389"/>
      <c r="J22" s="389"/>
      <c r="K22" s="389"/>
      <c r="L22" s="414"/>
      <c r="M22" s="414"/>
    </row>
    <row r="23" spans="1:13" ht="14.25" thickBot="1">
      <c r="A23" s="447"/>
      <c r="B23" s="448"/>
      <c r="C23" s="449" t="s">
        <v>259</v>
      </c>
      <c r="D23" s="450">
        <f>'BDI Composição'!G43</f>
        <v>0</v>
      </c>
      <c r="E23" s="691"/>
      <c r="F23" s="691"/>
      <c r="H23" s="389"/>
      <c r="I23" s="389"/>
      <c r="J23" s="389"/>
      <c r="K23" s="389"/>
      <c r="L23" s="414"/>
      <c r="M23" s="414"/>
    </row>
    <row r="24" spans="8:13" ht="4.5" customHeight="1" thickBot="1">
      <c r="H24" s="389"/>
      <c r="I24" s="389"/>
      <c r="J24" s="389"/>
      <c r="K24" s="389" t="s">
        <v>217</v>
      </c>
      <c r="L24" s="414">
        <v>0.5</v>
      </c>
      <c r="M24" s="414">
        <v>0.97</v>
      </c>
    </row>
    <row r="25" spans="1:13" ht="14.25" thickBot="1">
      <c r="A25" s="638" t="s">
        <v>218</v>
      </c>
      <c r="B25" s="639"/>
      <c r="C25" s="639"/>
      <c r="D25" s="640"/>
      <c r="E25" s="424"/>
      <c r="H25" s="389"/>
      <c r="I25" s="389"/>
      <c r="J25" s="389"/>
      <c r="K25" s="389" t="s">
        <v>219</v>
      </c>
      <c r="L25" s="414">
        <v>1.02</v>
      </c>
      <c r="M25" s="414">
        <v>1.21</v>
      </c>
    </row>
    <row r="26" spans="1:13" ht="22.5" customHeight="1" thickBot="1">
      <c r="A26" s="641"/>
      <c r="B26" s="643" t="s">
        <v>220</v>
      </c>
      <c r="C26" s="451" t="s">
        <v>221</v>
      </c>
      <c r="D26" s="646">
        <v>-1</v>
      </c>
      <c r="H26" s="389"/>
      <c r="I26" s="389"/>
      <c r="J26" s="389"/>
      <c r="K26" s="389" t="s">
        <v>222</v>
      </c>
      <c r="L26" s="414">
        <v>6.64</v>
      </c>
      <c r="M26" s="414">
        <v>8.69</v>
      </c>
    </row>
    <row r="27" spans="1:13" ht="21" customHeight="1" thickBot="1">
      <c r="A27" s="642"/>
      <c r="B27" s="644"/>
      <c r="C27" s="425" t="s">
        <v>223</v>
      </c>
      <c r="D27" s="647"/>
      <c r="H27" s="389"/>
      <c r="I27" s="389"/>
      <c r="J27" s="389"/>
      <c r="K27" s="389" t="s">
        <v>224</v>
      </c>
      <c r="L27" s="414">
        <v>3.43</v>
      </c>
      <c r="M27" s="414">
        <v>6.71</v>
      </c>
    </row>
    <row r="28" spans="8:13" ht="3" customHeight="1" thickBot="1">
      <c r="H28" s="389"/>
      <c r="I28" s="389"/>
      <c r="J28" s="389"/>
      <c r="K28" s="389" t="s">
        <v>225</v>
      </c>
      <c r="L28" s="414">
        <v>0.28</v>
      </c>
      <c r="M28" s="414">
        <v>0.75</v>
      </c>
    </row>
    <row r="29" spans="1:13" ht="15" customHeight="1" thickBot="1">
      <c r="A29" s="632" t="s">
        <v>226</v>
      </c>
      <c r="B29" s="633"/>
      <c r="C29" s="633"/>
      <c r="D29" s="686"/>
      <c r="E29" s="687" t="str">
        <f>IF('BDI Composição'!G51&gt;='BDI Composição'!H51,IF('BDI Composição'!G51&lt;='BDI Composição'!I51,"De acordo com o Acórdão 2622/2013-TCU.","NÃO"),"XXX BDI FORA DOS LIMITES AC 2622/13 XXX")</f>
        <v>De acordo com o Acórdão 2622/2013-TCU.</v>
      </c>
      <c r="F29" s="688"/>
      <c r="H29" s="389"/>
      <c r="I29" s="389"/>
      <c r="J29" s="389"/>
      <c r="K29" s="389" t="s">
        <v>227</v>
      </c>
      <c r="L29" s="414">
        <v>1</v>
      </c>
      <c r="M29" s="414">
        <v>1.74</v>
      </c>
    </row>
    <row r="30" spans="1:13" ht="15.75" thickBot="1">
      <c r="A30" s="689" t="s">
        <v>226</v>
      </c>
      <c r="B30" s="690"/>
      <c r="C30" s="690"/>
      <c r="D30" s="452">
        <f>100*ROUND((((1+D14/100+D15/100+D16/100)*(1+D17/100)*(1+D18/100))/(1-D19/100))-1,4)</f>
        <v>19.82</v>
      </c>
      <c r="E30" s="687"/>
      <c r="F30" s="688"/>
      <c r="H30" s="389"/>
      <c r="I30" s="389"/>
      <c r="J30" s="389"/>
      <c r="K30" s="389" t="s">
        <v>228</v>
      </c>
      <c r="L30" s="414">
        <v>0.94</v>
      </c>
      <c r="M30" s="414">
        <v>1.17</v>
      </c>
    </row>
    <row r="31" spans="8:13" ht="8.25" customHeight="1">
      <c r="H31" s="389"/>
      <c r="I31" s="389"/>
      <c r="J31" s="389"/>
      <c r="K31" s="389" t="s">
        <v>260</v>
      </c>
      <c r="L31" s="414">
        <v>5.29</v>
      </c>
      <c r="M31" s="414">
        <v>7.93</v>
      </c>
    </row>
    <row r="32" spans="8:13" ht="17.25" customHeight="1">
      <c r="H32" s="389"/>
      <c r="I32" s="389"/>
      <c r="J32" s="389"/>
      <c r="K32" s="389"/>
      <c r="L32" s="414"/>
      <c r="M32" s="414"/>
    </row>
    <row r="33" spans="4:13" ht="15" customHeight="1">
      <c r="D33" s="684" t="str">
        <f>CONCATENATE('BDI Composição'!F6,", ",'BDI Composição'!E11)</f>
        <v>Fontoura Xavier, SINAPI 06/2022</v>
      </c>
      <c r="E33" s="684"/>
      <c r="F33" s="684"/>
      <c r="H33" s="389"/>
      <c r="I33" s="389"/>
      <c r="J33" s="389"/>
      <c r="K33" s="389"/>
      <c r="L33" s="414"/>
      <c r="M33" s="414"/>
    </row>
    <row r="34" spans="1:13" ht="34.5" customHeight="1">
      <c r="A34" s="636"/>
      <c r="B34" s="636"/>
      <c r="C34" s="636"/>
      <c r="D34" s="636"/>
      <c r="E34" s="636"/>
      <c r="F34" s="636"/>
      <c r="H34" s="389"/>
      <c r="I34" s="389"/>
      <c r="J34" s="389"/>
      <c r="K34" s="389" t="s">
        <v>233</v>
      </c>
      <c r="L34" s="414">
        <v>0.25</v>
      </c>
      <c r="M34" s="414">
        <v>0.56</v>
      </c>
    </row>
    <row r="35" spans="1:13" ht="11.25" customHeight="1">
      <c r="A35" s="453"/>
      <c r="B35" s="453"/>
      <c r="H35" s="389"/>
      <c r="I35" s="389"/>
      <c r="J35" s="389"/>
      <c r="K35" s="389" t="s">
        <v>235</v>
      </c>
      <c r="L35" s="414">
        <v>1</v>
      </c>
      <c r="M35" s="414">
        <v>1.97</v>
      </c>
    </row>
    <row r="36" spans="1:13" ht="13.5">
      <c r="A36" s="685" t="str">
        <f>'BDI Composição'!E13&amp;" - Responsável Técnico"</f>
        <v>Augusto Ross - Responsável Técnico</v>
      </c>
      <c r="B36" s="685"/>
      <c r="C36" s="685"/>
      <c r="H36" s="389"/>
      <c r="I36" s="389"/>
      <c r="J36" s="389"/>
      <c r="K36" s="389" t="s">
        <v>236</v>
      </c>
      <c r="L36" s="414">
        <v>1.01</v>
      </c>
      <c r="M36" s="414">
        <v>1.11</v>
      </c>
    </row>
    <row r="37" spans="1:13" s="393" customFormat="1" ht="13.5">
      <c r="A37" s="683" t="str">
        <f>'BDI Composição'!B14&amp;'BDI Composição'!E14</f>
        <v>CREA nºRS236486</v>
      </c>
      <c r="B37" s="683"/>
      <c r="C37" s="683"/>
      <c r="E37" s="438"/>
      <c r="H37" s="391"/>
      <c r="I37" s="391"/>
      <c r="J37" s="391"/>
      <c r="K37" s="391" t="s">
        <v>237</v>
      </c>
      <c r="L37" s="454">
        <v>8</v>
      </c>
      <c r="M37" s="454">
        <v>9.51</v>
      </c>
    </row>
    <row r="38" spans="1:13" s="393" customFormat="1" ht="13.5">
      <c r="A38" s="683"/>
      <c r="B38" s="683"/>
      <c r="C38" s="683"/>
      <c r="E38" s="438"/>
      <c r="H38" s="391"/>
      <c r="I38" s="391"/>
      <c r="J38" s="391"/>
      <c r="K38" s="391" t="s">
        <v>238</v>
      </c>
      <c r="L38" s="454">
        <v>4</v>
      </c>
      <c r="M38" s="454">
        <v>7.85</v>
      </c>
    </row>
    <row r="39" spans="8:13" ht="8.25" customHeight="1">
      <c r="H39" s="389"/>
      <c r="I39" s="389"/>
      <c r="J39" s="389"/>
      <c r="K39" s="389" t="s">
        <v>239</v>
      </c>
      <c r="L39" s="414">
        <v>0.81</v>
      </c>
      <c r="M39" s="414">
        <v>1.99</v>
      </c>
    </row>
    <row r="40" spans="1:13" ht="13.5">
      <c r="A40" s="453"/>
      <c r="B40" s="453"/>
      <c r="H40" s="389"/>
      <c r="I40" s="389"/>
      <c r="J40" s="389"/>
      <c r="K40" s="389" t="s">
        <v>240</v>
      </c>
      <c r="L40" s="414">
        <v>1.46</v>
      </c>
      <c r="M40" s="414">
        <v>3.16</v>
      </c>
    </row>
    <row r="41" spans="1:13" ht="13.5">
      <c r="A41" s="685" t="str">
        <f>'BDI Composição'!E16&amp;" - Prefeito"</f>
        <v>Luiz Armando Taffarel - Prefeito</v>
      </c>
      <c r="B41" s="685"/>
      <c r="C41" s="685"/>
      <c r="H41" s="389"/>
      <c r="I41" s="389"/>
      <c r="J41" s="389"/>
      <c r="K41" s="389" t="s">
        <v>241</v>
      </c>
      <c r="L41" s="414">
        <v>0.94</v>
      </c>
      <c r="M41" s="414">
        <v>1.33</v>
      </c>
    </row>
    <row r="42" spans="1:13" ht="13.5">
      <c r="A42" s="683" t="str">
        <f>"CPF nº"&amp;'BDI Composição'!E17</f>
        <v>CPF nº209.484.410-20</v>
      </c>
      <c r="B42" s="683"/>
      <c r="C42" s="683"/>
      <c r="H42" s="389"/>
      <c r="I42" s="389"/>
      <c r="J42" s="389"/>
      <c r="K42" s="389" t="s">
        <v>244</v>
      </c>
      <c r="L42" s="414">
        <v>0.3</v>
      </c>
      <c r="M42" s="414">
        <v>0.82</v>
      </c>
    </row>
    <row r="43" spans="8:13" ht="13.5">
      <c r="H43" s="389"/>
      <c r="I43" s="389"/>
      <c r="J43" s="389"/>
      <c r="K43" s="389" t="s">
        <v>247</v>
      </c>
      <c r="L43" s="414">
        <v>3.5</v>
      </c>
      <c r="M43" s="414">
        <v>6.22</v>
      </c>
    </row>
    <row r="44" spans="8:13" ht="13.5">
      <c r="H44" s="389"/>
      <c r="I44" s="389"/>
      <c r="J44" s="389"/>
      <c r="K44" s="389" t="s">
        <v>248</v>
      </c>
      <c r="L44" s="414">
        <v>20.34</v>
      </c>
      <c r="M44" s="414">
        <v>25</v>
      </c>
    </row>
    <row r="45" spans="8:13" ht="13.5">
      <c r="H45" s="389"/>
      <c r="I45" s="389"/>
      <c r="J45" s="389"/>
      <c r="K45" s="389" t="s">
        <v>249</v>
      </c>
      <c r="L45" s="414">
        <v>19.6</v>
      </c>
      <c r="M45" s="414">
        <v>24.23</v>
      </c>
    </row>
    <row r="46" spans="8:13" ht="13.5">
      <c r="H46" s="389"/>
      <c r="I46" s="389"/>
      <c r="J46" s="389"/>
      <c r="K46" s="389" t="s">
        <v>250</v>
      </c>
      <c r="L46" s="414">
        <v>20.76</v>
      </c>
      <c r="M46" s="414">
        <v>26.44</v>
      </c>
    </row>
    <row r="47" spans="8:13" ht="13.5">
      <c r="H47" s="389"/>
      <c r="I47" s="389"/>
      <c r="J47" s="389"/>
      <c r="K47" s="389" t="s">
        <v>251</v>
      </c>
      <c r="L47" s="414">
        <v>24</v>
      </c>
      <c r="M47" s="414">
        <v>27.86</v>
      </c>
    </row>
    <row r="48" spans="8:13" ht="13.5">
      <c r="H48" s="389"/>
      <c r="I48" s="389"/>
      <c r="J48" s="389"/>
      <c r="K48" s="389" t="s">
        <v>252</v>
      </c>
      <c r="L48" s="414">
        <v>22.8</v>
      </c>
      <c r="M48" s="414">
        <v>30.95</v>
      </c>
    </row>
    <row r="49" spans="8:13" ht="13.5">
      <c r="H49" s="389"/>
      <c r="I49" s="389"/>
      <c r="J49" s="389"/>
      <c r="K49" s="389" t="s">
        <v>253</v>
      </c>
      <c r="L49" s="414">
        <v>11.1</v>
      </c>
      <c r="M49" s="414">
        <v>16.8</v>
      </c>
    </row>
    <row r="50" spans="8:13" ht="13.5">
      <c r="H50" s="389"/>
      <c r="I50" s="389"/>
      <c r="J50" s="389"/>
      <c r="K50" s="389"/>
      <c r="L50" s="389"/>
      <c r="M50" s="389"/>
    </row>
    <row r="51" spans="8:13" ht="13.5">
      <c r="H51" s="389"/>
      <c r="I51" s="389"/>
      <c r="J51" s="389"/>
      <c r="K51" s="389"/>
      <c r="L51" s="389"/>
      <c r="M51" s="389"/>
    </row>
    <row r="52" spans="8:13" ht="13.5">
      <c r="H52" s="389"/>
      <c r="I52" s="389"/>
      <c r="J52" s="389"/>
      <c r="K52" s="389"/>
      <c r="L52" s="389"/>
      <c r="M52" s="389"/>
    </row>
    <row r="53" spans="8:13" ht="13.5">
      <c r="H53" s="389"/>
      <c r="I53" s="389"/>
      <c r="J53" s="389"/>
      <c r="K53" s="389"/>
      <c r="L53" s="389"/>
      <c r="M53" s="389"/>
    </row>
    <row r="54" spans="8:13" ht="13.5">
      <c r="H54" s="389"/>
      <c r="I54" s="389"/>
      <c r="J54" s="389"/>
      <c r="K54" s="389"/>
      <c r="L54" s="389"/>
      <c r="M54" s="389"/>
    </row>
    <row r="55" spans="8:13" ht="13.5">
      <c r="H55" s="389"/>
      <c r="I55" s="389"/>
      <c r="J55" s="389"/>
      <c r="K55" s="389"/>
      <c r="L55" s="389"/>
      <c r="M55" s="389"/>
    </row>
    <row r="56" spans="8:13" ht="13.5">
      <c r="H56" s="389"/>
      <c r="I56" s="389"/>
      <c r="J56" s="389"/>
      <c r="K56" s="389"/>
      <c r="L56" s="389"/>
      <c r="M56" s="389"/>
    </row>
    <row r="57" spans="8:13" ht="13.5">
      <c r="H57" s="389"/>
      <c r="I57" s="389"/>
      <c r="J57" s="389"/>
      <c r="K57" s="389"/>
      <c r="L57" s="389"/>
      <c r="M57" s="389"/>
    </row>
    <row r="58" spans="8:13" ht="13.5">
      <c r="H58" s="389"/>
      <c r="I58" s="389"/>
      <c r="J58" s="389"/>
      <c r="K58" s="389"/>
      <c r="L58" s="389"/>
      <c r="M58" s="389"/>
    </row>
    <row r="59" spans="8:13" ht="13.5">
      <c r="H59" s="389"/>
      <c r="I59" s="389"/>
      <c r="J59" s="389"/>
      <c r="K59" s="389"/>
      <c r="L59" s="389"/>
      <c r="M59" s="389"/>
    </row>
    <row r="60" spans="8:13" ht="13.5">
      <c r="H60" s="389"/>
      <c r="I60" s="389"/>
      <c r="J60" s="389"/>
      <c r="K60" s="389"/>
      <c r="L60" s="389"/>
      <c r="M60" s="389"/>
    </row>
    <row r="61" spans="8:13" ht="13.5">
      <c r="H61" s="389"/>
      <c r="I61" s="389"/>
      <c r="J61" s="389"/>
      <c r="K61" s="389"/>
      <c r="L61" s="389"/>
      <c r="M61" s="389"/>
    </row>
    <row r="62" spans="8:13" ht="13.5">
      <c r="H62" s="389"/>
      <c r="I62" s="389"/>
      <c r="J62" s="389"/>
      <c r="K62" s="389"/>
      <c r="L62" s="389"/>
      <c r="M62" s="389"/>
    </row>
    <row r="63" spans="8:13" ht="13.5">
      <c r="H63" s="389"/>
      <c r="I63" s="389"/>
      <c r="J63" s="389"/>
      <c r="K63" s="389"/>
      <c r="L63" s="389"/>
      <c r="M63" s="389"/>
    </row>
    <row r="64" spans="8:13" ht="13.5">
      <c r="H64" s="389"/>
      <c r="I64" s="389"/>
      <c r="J64" s="389"/>
      <c r="K64" s="389"/>
      <c r="L64" s="389"/>
      <c r="M64" s="389"/>
    </row>
  </sheetData>
  <sheetProtection/>
  <mergeCells count="31">
    <mergeCell ref="A1:F1"/>
    <mergeCell ref="A3:F3"/>
    <mergeCell ref="A4:F4"/>
    <mergeCell ref="A5:F5"/>
    <mergeCell ref="A6:F6"/>
    <mergeCell ref="A7:F7"/>
    <mergeCell ref="A9:D9"/>
    <mergeCell ref="A11:B11"/>
    <mergeCell ref="C11:D11"/>
    <mergeCell ref="A13:C13"/>
    <mergeCell ref="B14:C14"/>
    <mergeCell ref="B15:C15"/>
    <mergeCell ref="B16:C16"/>
    <mergeCell ref="B17:C17"/>
    <mergeCell ref="B18:C18"/>
    <mergeCell ref="B19:C19"/>
    <mergeCell ref="E19:F23"/>
    <mergeCell ref="A25:D25"/>
    <mergeCell ref="A26:A27"/>
    <mergeCell ref="B26:B27"/>
    <mergeCell ref="D26:D27"/>
    <mergeCell ref="A29:D29"/>
    <mergeCell ref="E29:F30"/>
    <mergeCell ref="A30:C30"/>
    <mergeCell ref="A42:C42"/>
    <mergeCell ref="D33:F33"/>
    <mergeCell ref="A34:F34"/>
    <mergeCell ref="A36:C36"/>
    <mergeCell ref="A37:C37"/>
    <mergeCell ref="A38:C38"/>
    <mergeCell ref="A41:C41"/>
  </mergeCells>
  <dataValidations count="2">
    <dataValidation allowBlank="1" showInputMessage="1" showErrorMessage="1" error="O valor inserido está fora dos limites estabelecidos pelo acórdão 2622/2013 do TCU ou é inválido." sqref="D14:D19"/>
    <dataValidation type="decimal" allowBlank="1" showInputMessage="1" showErrorMessage="1" error="O valor inserido está fora dos limites estabelecidos pelo acórdão 2622/2013 do TCU ou é inválido." sqref="D20:D23">
      <formula1>E20</formula1>
      <formula2>F20</formula2>
    </dataValidation>
  </dataValidations>
  <printOptions/>
  <pageMargins left="0.7" right="0.7" top="0.75" bottom="0.75" header="0.3" footer="0.3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3"/>
  <dimension ref="B2:V89"/>
  <sheetViews>
    <sheetView zoomScalePageLayoutView="0" workbookViewId="0" topLeftCell="A15">
      <selection activeCell="E17" sqref="E17:F17"/>
    </sheetView>
  </sheetViews>
  <sheetFormatPr defaultColWidth="9.140625" defaultRowHeight="12.75"/>
  <cols>
    <col min="1" max="1" width="2.28125" style="190" customWidth="1"/>
    <col min="2" max="3" width="6.00390625" style="190" customWidth="1"/>
    <col min="4" max="4" width="10.421875" style="190" customWidth="1"/>
    <col min="5" max="5" width="20.140625" style="190" customWidth="1"/>
    <col min="6" max="6" width="27.57421875" style="190" customWidth="1"/>
    <col min="7" max="7" width="11.28125" style="190" customWidth="1"/>
    <col min="8" max="8" width="11.00390625" style="191" customWidth="1"/>
    <col min="9" max="9" width="9.140625" style="190" customWidth="1"/>
    <col min="10" max="10" width="2.7109375" style="190" customWidth="1"/>
    <col min="11" max="14" width="9.140625" style="192" customWidth="1"/>
    <col min="15" max="27" width="0" style="190" hidden="1" customWidth="1"/>
    <col min="28" max="16384" width="9.140625" style="190" customWidth="1"/>
  </cols>
  <sheetData>
    <row r="2" ht="12.75">
      <c r="B2" s="189" t="s">
        <v>155</v>
      </c>
    </row>
    <row r="3" ht="12.75">
      <c r="B3" s="189" t="s">
        <v>156</v>
      </c>
    </row>
    <row r="4" ht="12.75">
      <c r="B4" s="189"/>
    </row>
    <row r="5" spans="6:9" ht="12.75">
      <c r="F5" s="193" t="str">
        <f>IF(E6="Empresa","digite o nome da empresa","digite o nome do Município")</f>
        <v>digite o nome do Município</v>
      </c>
      <c r="G5" s="192"/>
      <c r="H5" s="194" t="s">
        <v>157</v>
      </c>
      <c r="I5" s="192" t="s">
        <v>158</v>
      </c>
    </row>
    <row r="6" spans="2:17" ht="12.75">
      <c r="B6" s="195" t="s">
        <v>159</v>
      </c>
      <c r="E6" s="196" t="s">
        <v>157</v>
      </c>
      <c r="F6" s="197" t="s">
        <v>516</v>
      </c>
      <c r="G6" s="192" t="str">
        <f>IF(E6="empresa","",E6)</f>
        <v>Prefeitura Municipal de</v>
      </c>
      <c r="H6" s="192"/>
      <c r="I6" s="192"/>
      <c r="J6" s="198"/>
      <c r="L6" s="199"/>
      <c r="O6" s="198"/>
      <c r="P6" s="198"/>
      <c r="Q6" s="198"/>
    </row>
    <row r="7" spans="2:17" ht="12.75">
      <c r="B7" s="195" t="s">
        <v>160</v>
      </c>
      <c r="E7" s="704" t="str">
        <f>F6</f>
        <v>Fontoura Xavier</v>
      </c>
      <c r="F7" s="705"/>
      <c r="G7" s="192"/>
      <c r="H7" s="192"/>
      <c r="I7" s="192"/>
      <c r="J7" s="198"/>
      <c r="L7" s="199"/>
      <c r="O7" s="198"/>
      <c r="P7" s="198"/>
      <c r="Q7" s="198"/>
    </row>
    <row r="8" spans="2:17" ht="12.75">
      <c r="B8" s="195" t="s">
        <v>161</v>
      </c>
      <c r="E8" s="706"/>
      <c r="F8" s="707"/>
      <c r="H8" s="190"/>
      <c r="J8" s="198"/>
      <c r="O8" s="198"/>
      <c r="P8" s="198"/>
      <c r="Q8" s="198"/>
    </row>
    <row r="9" spans="2:17" ht="27" customHeight="1">
      <c r="B9" s="200" t="s">
        <v>162</v>
      </c>
      <c r="E9" s="708" t="str">
        <f>Orçamento!A2</f>
        <v>Obra: Pavimentação Asfáltica da Avenida 25 de Abril</v>
      </c>
      <c r="F9" s="709"/>
      <c r="H9" s="190"/>
      <c r="J9" s="198"/>
      <c r="O9" s="198"/>
      <c r="P9" s="198"/>
      <c r="Q9" s="198"/>
    </row>
    <row r="10" spans="2:17" ht="12.75">
      <c r="B10" s="195" t="s">
        <v>163</v>
      </c>
      <c r="E10" s="706" t="s">
        <v>175</v>
      </c>
      <c r="F10" s="707"/>
      <c r="H10" s="190"/>
      <c r="J10" s="198"/>
      <c r="O10" s="198"/>
      <c r="P10" s="198"/>
      <c r="Q10" s="198"/>
    </row>
    <row r="11" spans="2:17" ht="12.75">
      <c r="B11" s="195" t="s">
        <v>165</v>
      </c>
      <c r="E11" s="710" t="str">
        <f>Orçamento!A81</f>
        <v>SINAPI 06/2022</v>
      </c>
      <c r="F11" s="705"/>
      <c r="H11" s="190"/>
      <c r="J11" s="198"/>
      <c r="O11" s="198"/>
      <c r="P11" s="198"/>
      <c r="Q11" s="198"/>
    </row>
    <row r="12" spans="2:17" ht="12.75">
      <c r="B12" s="195"/>
      <c r="H12" s="190"/>
      <c r="J12" s="198"/>
      <c r="O12" s="198"/>
      <c r="P12" s="198"/>
      <c r="Q12" s="198"/>
    </row>
    <row r="13" spans="2:22" ht="13.5">
      <c r="B13" s="195" t="s">
        <v>166</v>
      </c>
      <c r="E13" s="711" t="s">
        <v>548</v>
      </c>
      <c r="F13" s="711"/>
      <c r="H13" s="190"/>
      <c r="J13" s="198"/>
      <c r="K13" s="455"/>
      <c r="O13" s="198"/>
      <c r="P13" s="198"/>
      <c r="Q13" t="s">
        <v>157</v>
      </c>
      <c r="R13" t="s">
        <v>175</v>
      </c>
      <c r="S13" t="s">
        <v>167</v>
      </c>
      <c r="T13" t="s">
        <v>173</v>
      </c>
      <c r="U13" t="s">
        <v>178</v>
      </c>
      <c r="V13" t="s">
        <v>188</v>
      </c>
    </row>
    <row r="14" spans="2:22" ht="12.75">
      <c r="B14" s="712" t="s">
        <v>167</v>
      </c>
      <c r="C14" s="712"/>
      <c r="D14" s="712"/>
      <c r="E14" s="711" t="s">
        <v>549</v>
      </c>
      <c r="F14" s="711"/>
      <c r="H14" s="192" t="s">
        <v>168</v>
      </c>
      <c r="I14" s="192" t="s">
        <v>169</v>
      </c>
      <c r="J14" s="198"/>
      <c r="O14" s="198"/>
      <c r="P14" s="198"/>
      <c r="Q14" t="s">
        <v>158</v>
      </c>
      <c r="R14" t="s">
        <v>164</v>
      </c>
      <c r="S14" t="s">
        <v>261</v>
      </c>
      <c r="T14" t="s">
        <v>174</v>
      </c>
      <c r="U14" t="s">
        <v>179</v>
      </c>
      <c r="V14" t="s">
        <v>183</v>
      </c>
    </row>
    <row r="15" spans="2:22" ht="12.75">
      <c r="B15" s="201"/>
      <c r="C15" s="201"/>
      <c r="D15" s="201"/>
      <c r="E15" s="202"/>
      <c r="F15" s="202"/>
      <c r="H15" s="192"/>
      <c r="I15" s="192"/>
      <c r="J15" s="198"/>
      <c r="O15" s="198"/>
      <c r="P15" s="198"/>
      <c r="Q15"/>
      <c r="R15"/>
      <c r="S15"/>
      <c r="T15"/>
      <c r="U15"/>
      <c r="V15" t="s">
        <v>195</v>
      </c>
    </row>
    <row r="16" spans="2:22" ht="12.75">
      <c r="B16" s="195" t="s">
        <v>170</v>
      </c>
      <c r="E16" s="711" t="s">
        <v>556</v>
      </c>
      <c r="F16" s="711"/>
      <c r="H16" s="192"/>
      <c r="I16" s="192"/>
      <c r="J16" s="198"/>
      <c r="O16" s="198"/>
      <c r="P16" s="198"/>
      <c r="Q16"/>
      <c r="R16"/>
      <c r="S16"/>
      <c r="T16"/>
      <c r="U16"/>
      <c r="V16" t="s">
        <v>199</v>
      </c>
    </row>
    <row r="17" spans="2:22" ht="12.75">
      <c r="B17" s="195" t="s">
        <v>171</v>
      </c>
      <c r="E17" s="711" t="s">
        <v>557</v>
      </c>
      <c r="F17" s="711"/>
      <c r="H17" s="192"/>
      <c r="I17" s="192"/>
      <c r="J17" s="198"/>
      <c r="O17" s="198"/>
      <c r="P17" s="198"/>
      <c r="Q17"/>
      <c r="R17"/>
      <c r="S17"/>
      <c r="T17"/>
      <c r="U17"/>
      <c r="V17" t="s">
        <v>203</v>
      </c>
    </row>
    <row r="18" spans="8:22" ht="12.75">
      <c r="H18" s="192"/>
      <c r="I18" s="192"/>
      <c r="J18" s="198"/>
      <c r="O18" s="198"/>
      <c r="P18" s="198"/>
      <c r="Q18"/>
      <c r="R18"/>
      <c r="S18"/>
      <c r="T18"/>
      <c r="U18"/>
      <c r="V18" t="s">
        <v>207</v>
      </c>
    </row>
    <row r="19" spans="2:17" ht="12.75">
      <c r="B19" s="195" t="s">
        <v>172</v>
      </c>
      <c r="E19" s="711" t="s">
        <v>173</v>
      </c>
      <c r="F19" s="711"/>
      <c r="G19" s="192" t="s">
        <v>173</v>
      </c>
      <c r="H19" s="192" t="s">
        <v>174</v>
      </c>
      <c r="I19" s="192"/>
      <c r="J19" s="198"/>
      <c r="L19" s="192" t="s">
        <v>175</v>
      </c>
      <c r="M19" s="192" t="s">
        <v>164</v>
      </c>
      <c r="O19" s="198"/>
      <c r="P19" s="198"/>
      <c r="Q19" s="198"/>
    </row>
    <row r="20" spans="2:17" ht="12.75">
      <c r="B20" s="195"/>
      <c r="E20" s="195"/>
      <c r="H20" s="190"/>
      <c r="J20" s="198"/>
      <c r="O20" s="198"/>
      <c r="P20" s="198"/>
      <c r="Q20" s="198"/>
    </row>
    <row r="21" spans="2:17" ht="12.75">
      <c r="B21" s="195" t="s">
        <v>176</v>
      </c>
      <c r="E21" s="188">
        <v>2</v>
      </c>
      <c r="F21" s="190" t="s">
        <v>42</v>
      </c>
      <c r="G21" s="192">
        <v>2</v>
      </c>
      <c r="H21" s="192">
        <v>5</v>
      </c>
      <c r="I21" s="192"/>
      <c r="J21" s="198"/>
      <c r="O21" s="198"/>
      <c r="P21" s="198"/>
      <c r="Q21" s="198"/>
    </row>
    <row r="22" spans="2:17" ht="12.75">
      <c r="B22" s="195" t="s">
        <v>177</v>
      </c>
      <c r="E22" s="706" t="s">
        <v>178</v>
      </c>
      <c r="F22" s="707"/>
      <c r="G22" s="192"/>
      <c r="H22" s="192"/>
      <c r="I22" s="192"/>
      <c r="J22" s="198"/>
      <c r="L22" s="192" t="s">
        <v>179</v>
      </c>
      <c r="M22" s="192" t="s">
        <v>178</v>
      </c>
      <c r="O22" s="198"/>
      <c r="P22" s="198"/>
      <c r="Q22" s="198"/>
    </row>
    <row r="23" spans="2:17" ht="12.75" customHeight="1">
      <c r="B23" s="713" t="s">
        <v>180</v>
      </c>
      <c r="C23" s="713"/>
      <c r="D23" s="713"/>
      <c r="E23" s="203"/>
      <c r="F23" s="190" t="s">
        <v>42</v>
      </c>
      <c r="H23" s="190"/>
      <c r="J23" s="198"/>
      <c r="O23" s="198"/>
      <c r="P23" s="198"/>
      <c r="Q23" s="198"/>
    </row>
    <row r="24" spans="2:17" ht="12.75">
      <c r="B24" s="713"/>
      <c r="C24" s="713"/>
      <c r="D24" s="713"/>
      <c r="J24" s="198"/>
      <c r="O24" s="198"/>
      <c r="P24" s="198"/>
      <c r="Q24" s="198"/>
    </row>
    <row r="25" spans="2:17" ht="5.25" customHeight="1">
      <c r="B25" s="713"/>
      <c r="C25" s="713"/>
      <c r="D25" s="713"/>
      <c r="J25" s="198"/>
      <c r="O25" s="198"/>
      <c r="P25" s="198"/>
      <c r="Q25" s="198"/>
    </row>
    <row r="26" spans="2:17" ht="5.25" customHeight="1">
      <c r="B26" s="713"/>
      <c r="C26" s="713"/>
      <c r="D26" s="713"/>
      <c r="J26" s="198"/>
      <c r="O26" s="198"/>
      <c r="P26" s="198"/>
      <c r="Q26" s="198"/>
    </row>
    <row r="27" ht="5.25" customHeight="1"/>
    <row r="28" ht="5.25" customHeight="1" thickBot="1"/>
    <row r="29" spans="2:17" ht="15.75" thickBot="1">
      <c r="B29" s="714" t="s">
        <v>181</v>
      </c>
      <c r="C29" s="715"/>
      <c r="D29" s="715"/>
      <c r="E29" s="715"/>
      <c r="F29" s="715"/>
      <c r="G29" s="715"/>
      <c r="H29" s="715"/>
      <c r="I29" s="716"/>
      <c r="O29" s="192"/>
      <c r="P29" s="192"/>
      <c r="Q29" s="192"/>
    </row>
    <row r="30" spans="15:17" ht="6" customHeight="1" thickBot="1">
      <c r="O30" s="192"/>
      <c r="P30" s="192"/>
      <c r="Q30" s="192"/>
    </row>
    <row r="31" spans="2:17" ht="26.25" customHeight="1" thickBot="1">
      <c r="B31" s="717" t="s">
        <v>182</v>
      </c>
      <c r="C31" s="718"/>
      <c r="D31" s="719" t="s">
        <v>207</v>
      </c>
      <c r="E31" s="719"/>
      <c r="F31" s="719"/>
      <c r="G31" s="719"/>
      <c r="H31" s="719"/>
      <c r="I31" s="720"/>
      <c r="O31" s="192"/>
      <c r="P31" s="192"/>
      <c r="Q31" s="192"/>
    </row>
    <row r="32" spans="15:17" ht="5.25" customHeight="1" thickBot="1">
      <c r="O32" s="192"/>
      <c r="P32" s="192"/>
      <c r="Q32" s="192"/>
    </row>
    <row r="33" spans="2:17" ht="13.5" thickBot="1">
      <c r="B33" s="721" t="s">
        <v>184</v>
      </c>
      <c r="C33" s="722"/>
      <c r="D33" s="722"/>
      <c r="E33" s="722"/>
      <c r="F33" s="722"/>
      <c r="G33" s="204" t="s">
        <v>185</v>
      </c>
      <c r="H33" s="204" t="s">
        <v>186</v>
      </c>
      <c r="I33" s="205" t="s">
        <v>187</v>
      </c>
      <c r="M33" s="192" t="s">
        <v>188</v>
      </c>
      <c r="O33" s="192"/>
      <c r="P33" s="192" t="s">
        <v>189</v>
      </c>
      <c r="Q33" s="192" t="s">
        <v>187</v>
      </c>
    </row>
    <row r="34" spans="2:17" ht="12.75">
      <c r="B34" s="206" t="s">
        <v>190</v>
      </c>
      <c r="C34" s="723" t="s">
        <v>191</v>
      </c>
      <c r="D34" s="724"/>
      <c r="E34" s="724"/>
      <c r="F34" s="725"/>
      <c r="G34" s="116">
        <v>1.5</v>
      </c>
      <c r="H34" s="207">
        <v>1.5</v>
      </c>
      <c r="I34" s="207">
        <v>4.49</v>
      </c>
      <c r="J34" s="192" t="str">
        <f>CONCATENATE(LEFT($D$31,1),"a")</f>
        <v>6a</v>
      </c>
      <c r="K34" s="192">
        <v>0</v>
      </c>
      <c r="L34" s="192">
        <f>IF($G$51&gt;$I$51,I34,10000)</f>
        <v>10000</v>
      </c>
      <c r="M34" s="192" t="s">
        <v>183</v>
      </c>
      <c r="O34" s="192" t="s">
        <v>192</v>
      </c>
      <c r="P34" s="208">
        <v>3</v>
      </c>
      <c r="Q34" s="208">
        <v>5.5</v>
      </c>
    </row>
    <row r="35" spans="2:17" ht="12.75">
      <c r="B35" s="209" t="s">
        <v>193</v>
      </c>
      <c r="C35" s="726" t="s">
        <v>194</v>
      </c>
      <c r="D35" s="727"/>
      <c r="E35" s="727"/>
      <c r="F35" s="728"/>
      <c r="G35" s="116">
        <v>0.3</v>
      </c>
      <c r="H35" s="207">
        <v>0.3</v>
      </c>
      <c r="I35" s="207">
        <v>0.82</v>
      </c>
      <c r="J35" s="192" t="str">
        <f>CONCATENATE(LEFT($D$31,1),"b")</f>
        <v>6b</v>
      </c>
      <c r="K35" s="192">
        <v>0</v>
      </c>
      <c r="L35" s="192">
        <f>IF($G$51&gt;$I$51,I35,10000)</f>
        <v>10000</v>
      </c>
      <c r="M35" s="192" t="s">
        <v>195</v>
      </c>
      <c r="O35" s="192" t="s">
        <v>196</v>
      </c>
      <c r="P35" s="208">
        <v>0.8</v>
      </c>
      <c r="Q35" s="208">
        <v>1</v>
      </c>
    </row>
    <row r="36" spans="2:17" ht="12.75">
      <c r="B36" s="209" t="s">
        <v>197</v>
      </c>
      <c r="C36" s="726" t="s">
        <v>198</v>
      </c>
      <c r="D36" s="727"/>
      <c r="E36" s="727"/>
      <c r="F36" s="728"/>
      <c r="G36" s="116">
        <v>0.56</v>
      </c>
      <c r="H36" s="207">
        <v>0.56</v>
      </c>
      <c r="I36" s="207">
        <v>0.89</v>
      </c>
      <c r="J36" s="192" t="str">
        <f>CONCATENATE(LEFT($D$31,1),"c")</f>
        <v>6c</v>
      </c>
      <c r="K36" s="192">
        <v>0</v>
      </c>
      <c r="L36" s="192">
        <f>IF($G$51&gt;$I$51,I36,10000)</f>
        <v>10000</v>
      </c>
      <c r="M36" s="192" t="s">
        <v>199</v>
      </c>
      <c r="O36" s="192" t="s">
        <v>200</v>
      </c>
      <c r="P36" s="208">
        <v>0.97</v>
      </c>
      <c r="Q36" s="208">
        <v>1.27</v>
      </c>
    </row>
    <row r="37" spans="2:17" ht="12.75">
      <c r="B37" s="209" t="s">
        <v>201</v>
      </c>
      <c r="C37" s="726" t="s">
        <v>202</v>
      </c>
      <c r="D37" s="727"/>
      <c r="E37" s="727"/>
      <c r="F37" s="728"/>
      <c r="G37" s="116">
        <v>0.85</v>
      </c>
      <c r="H37" s="207">
        <v>0.85</v>
      </c>
      <c r="I37" s="207">
        <v>1.11</v>
      </c>
      <c r="J37" s="192" t="str">
        <f>CONCATENATE(LEFT($D$31,1),"d")</f>
        <v>6d</v>
      </c>
      <c r="K37" s="192">
        <v>0</v>
      </c>
      <c r="L37" s="192">
        <f>IF($G$51&gt;$I$51,I37,10000)</f>
        <v>10000</v>
      </c>
      <c r="M37" s="192" t="s">
        <v>203</v>
      </c>
      <c r="O37" s="192" t="s">
        <v>204</v>
      </c>
      <c r="P37" s="208">
        <v>0.59</v>
      </c>
      <c r="Q37" s="208">
        <v>1.39</v>
      </c>
    </row>
    <row r="38" spans="2:17" ht="12.75">
      <c r="B38" s="209" t="s">
        <v>205</v>
      </c>
      <c r="C38" s="726" t="s">
        <v>206</v>
      </c>
      <c r="D38" s="727"/>
      <c r="E38" s="727"/>
      <c r="F38" s="728"/>
      <c r="G38" s="116">
        <v>5.11</v>
      </c>
      <c r="H38" s="207">
        <v>3.5</v>
      </c>
      <c r="I38" s="207">
        <v>6.22</v>
      </c>
      <c r="J38" s="192" t="str">
        <f>CONCATENATE(LEFT($D$31,1),"e")</f>
        <v>6e</v>
      </c>
      <c r="K38" s="192">
        <v>0</v>
      </c>
      <c r="L38" s="192">
        <f>IF($G$51&gt;$I$51,I38,10000)</f>
        <v>10000</v>
      </c>
      <c r="M38" s="192" t="s">
        <v>207</v>
      </c>
      <c r="O38" s="192" t="s">
        <v>208</v>
      </c>
      <c r="P38" s="208">
        <v>6.16</v>
      </c>
      <c r="Q38" s="208">
        <v>8.96</v>
      </c>
    </row>
    <row r="39" spans="2:17" ht="12.75">
      <c r="B39" s="209" t="s">
        <v>209</v>
      </c>
      <c r="C39" s="729" t="s">
        <v>210</v>
      </c>
      <c r="D39" s="730"/>
      <c r="E39" s="730"/>
      <c r="F39" s="731"/>
      <c r="G39" s="117">
        <f>G40+G41+G42</f>
        <v>3.65</v>
      </c>
      <c r="H39" s="732" t="s">
        <v>211</v>
      </c>
      <c r="I39" s="733"/>
      <c r="O39" s="192" t="s">
        <v>212</v>
      </c>
      <c r="P39" s="208">
        <v>3.8</v>
      </c>
      <c r="Q39" s="208">
        <v>4.67</v>
      </c>
    </row>
    <row r="40" spans="2:17" ht="12.75">
      <c r="B40" s="209"/>
      <c r="C40" s="210"/>
      <c r="D40" s="211" t="s">
        <v>96</v>
      </c>
      <c r="E40" s="211"/>
      <c r="F40" s="213"/>
      <c r="G40" s="118">
        <v>0.65</v>
      </c>
      <c r="H40" s="734"/>
      <c r="I40" s="735"/>
      <c r="K40" s="192">
        <v>0</v>
      </c>
      <c r="L40" s="192">
        <f>IF($G$51&gt;$I$51,3,10000)</f>
        <v>10000</v>
      </c>
      <c r="O40" s="192"/>
      <c r="P40" s="208"/>
      <c r="Q40" s="208"/>
    </row>
    <row r="41" spans="2:17" ht="12.75">
      <c r="B41" s="209"/>
      <c r="C41" s="214"/>
      <c r="D41" s="215" t="s">
        <v>97</v>
      </c>
      <c r="E41" s="214"/>
      <c r="F41" s="216"/>
      <c r="G41" s="118">
        <v>3</v>
      </c>
      <c r="H41" s="734"/>
      <c r="I41" s="735"/>
      <c r="K41" s="192">
        <v>0</v>
      </c>
      <c r="L41" s="192">
        <f>IF($G$51&gt;$I$51,0.65,10000)</f>
        <v>10000</v>
      </c>
      <c r="O41" s="192"/>
      <c r="P41" s="208"/>
      <c r="Q41" s="208"/>
    </row>
    <row r="42" spans="2:17" ht="12.75">
      <c r="B42" s="209"/>
      <c r="C42" s="210"/>
      <c r="D42" s="212" t="s">
        <v>213</v>
      </c>
      <c r="E42" s="210"/>
      <c r="F42" s="213"/>
      <c r="G42" s="117">
        <f>IF(E22="valor total da obra",$E$21,$E$21*$E$23/100)</f>
        <v>0</v>
      </c>
      <c r="H42" s="734"/>
      <c r="I42" s="735"/>
      <c r="O42" s="192"/>
      <c r="P42" s="208"/>
      <c r="Q42" s="208"/>
    </row>
    <row r="43" spans="2:17" ht="12.75">
      <c r="B43" s="209"/>
      <c r="C43" s="210"/>
      <c r="D43" s="212" t="s">
        <v>214</v>
      </c>
      <c r="E43" s="210"/>
      <c r="F43" s="213"/>
      <c r="G43" s="117">
        <f>IF(E10="desonerados",4.5,0)</f>
        <v>0</v>
      </c>
      <c r="H43" s="734"/>
      <c r="I43" s="735"/>
      <c r="O43" s="192"/>
      <c r="P43" s="208"/>
      <c r="Q43" s="208"/>
    </row>
    <row r="44" spans="2:17" ht="12.75">
      <c r="B44" s="209" t="s">
        <v>209</v>
      </c>
      <c r="C44" s="726" t="s">
        <v>215</v>
      </c>
      <c r="D44" s="727"/>
      <c r="E44" s="727"/>
      <c r="F44" s="728"/>
      <c r="G44" s="117">
        <f>IF(E10="desonerados",SUM(G40:G43),G39)</f>
        <v>3.65</v>
      </c>
      <c r="H44" s="736"/>
      <c r="I44" s="737"/>
      <c r="O44" s="192" t="s">
        <v>216</v>
      </c>
      <c r="P44" s="208">
        <v>0.32</v>
      </c>
      <c r="Q44" s="208">
        <v>0.74</v>
      </c>
    </row>
    <row r="45" spans="15:17" ht="4.5" customHeight="1" thickBot="1">
      <c r="O45" s="192" t="s">
        <v>217</v>
      </c>
      <c r="P45" s="208">
        <v>0.5</v>
      </c>
      <c r="Q45" s="208">
        <v>0.97</v>
      </c>
    </row>
    <row r="46" spans="2:17" ht="13.5" thickBot="1">
      <c r="B46" s="738" t="s">
        <v>218</v>
      </c>
      <c r="C46" s="739"/>
      <c r="D46" s="739"/>
      <c r="E46" s="739"/>
      <c r="F46" s="739"/>
      <c r="G46" s="740"/>
      <c r="H46" s="217"/>
      <c r="O46" s="192" t="s">
        <v>219</v>
      </c>
      <c r="P46" s="208">
        <v>1.02</v>
      </c>
      <c r="Q46" s="208">
        <v>1.21</v>
      </c>
    </row>
    <row r="47" spans="2:17" ht="22.5" customHeight="1">
      <c r="B47" s="741"/>
      <c r="C47" s="743" t="s">
        <v>220</v>
      </c>
      <c r="D47" s="745" t="s">
        <v>221</v>
      </c>
      <c r="E47" s="745"/>
      <c r="F47" s="745"/>
      <c r="G47" s="746">
        <v>-1</v>
      </c>
      <c r="O47" s="192" t="s">
        <v>222</v>
      </c>
      <c r="P47" s="208">
        <v>6.64</v>
      </c>
      <c r="Q47" s="208">
        <v>8.69</v>
      </c>
    </row>
    <row r="48" spans="2:17" ht="21" customHeight="1" thickBot="1">
      <c r="B48" s="742"/>
      <c r="C48" s="744"/>
      <c r="D48" s="748" t="s">
        <v>223</v>
      </c>
      <c r="E48" s="748"/>
      <c r="F48" s="748"/>
      <c r="G48" s="747"/>
      <c r="O48" s="192" t="s">
        <v>224</v>
      </c>
      <c r="P48" s="208">
        <v>3.43</v>
      </c>
      <c r="Q48" s="208">
        <v>6.71</v>
      </c>
    </row>
    <row r="49" spans="15:17" ht="3" customHeight="1" thickBot="1">
      <c r="O49" s="192" t="s">
        <v>225</v>
      </c>
      <c r="P49" s="208">
        <v>0.28</v>
      </c>
      <c r="Q49" s="208">
        <v>0.75</v>
      </c>
    </row>
    <row r="50" spans="2:17" ht="15" customHeight="1" thickBot="1">
      <c r="B50" s="749" t="s">
        <v>226</v>
      </c>
      <c r="C50" s="750"/>
      <c r="D50" s="750"/>
      <c r="E50" s="750"/>
      <c r="F50" s="750"/>
      <c r="G50" s="750"/>
      <c r="H50" s="218" t="s">
        <v>186</v>
      </c>
      <c r="I50" s="219" t="s">
        <v>187</v>
      </c>
      <c r="O50" s="192" t="s">
        <v>227</v>
      </c>
      <c r="P50" s="208">
        <v>1</v>
      </c>
      <c r="Q50" s="208">
        <v>1.74</v>
      </c>
    </row>
    <row r="51" spans="2:17" ht="15">
      <c r="B51" s="751" t="str">
        <f>IF(G51&gt;I51,"BDI Sem Desoneração: ! FORA DOS LIMITES !",IF(G51&lt;H51,"BDI Sem Desoneração: ! FORA DOS LIMITES !","BDI Sem Desoneração:"))</f>
        <v>BDI Sem Desoneração:</v>
      </c>
      <c r="C51" s="751"/>
      <c r="D51" s="751"/>
      <c r="E51" s="751"/>
      <c r="F51" s="751"/>
      <c r="G51" s="119">
        <f>100*ROUND((((1+G34/100+G35/100+G36/100)*(1+G37/100)*(1+G38/100))/(1-G39/100))-1,4)</f>
        <v>12.620000000000001</v>
      </c>
      <c r="H51" s="207">
        <v>11.1</v>
      </c>
      <c r="I51" s="207">
        <v>16.8</v>
      </c>
      <c r="J51" s="192" t="str">
        <f>CONCATENATE(LEFT($D$31,1),"F")</f>
        <v>6F</v>
      </c>
      <c r="O51" s="192" t="s">
        <v>228</v>
      </c>
      <c r="P51" s="208">
        <v>0.94</v>
      </c>
      <c r="Q51" s="208">
        <v>1.17</v>
      </c>
    </row>
    <row r="52" spans="2:17" ht="15">
      <c r="B52" s="751" t="s">
        <v>229</v>
      </c>
      <c r="C52" s="751"/>
      <c r="D52" s="751"/>
      <c r="E52" s="751"/>
      <c r="F52" s="751"/>
      <c r="G52" s="120">
        <f>100*ROUND((((1+G34/100+G35/100+G36/100)*(1+G37/100)*(1+G38/100))/(1-G44/100))-1,4)</f>
        <v>12.620000000000001</v>
      </c>
      <c r="H52" s="209"/>
      <c r="I52" s="209"/>
      <c r="J52" s="192">
        <f>IF(G51&gt;I51,1,IF(G51&lt;H51,1,0))</f>
        <v>0</v>
      </c>
      <c r="O52" s="192" t="s">
        <v>230</v>
      </c>
      <c r="P52" s="208">
        <v>6.74</v>
      </c>
      <c r="Q52" s="208">
        <v>9.4</v>
      </c>
    </row>
    <row r="53" spans="2:17" ht="9" customHeight="1">
      <c r="B53" s="220"/>
      <c r="C53" s="220"/>
      <c r="D53" s="220"/>
      <c r="E53" s="220"/>
      <c r="F53" s="220"/>
      <c r="G53" s="121"/>
      <c r="I53" s="191"/>
      <c r="J53" s="192"/>
      <c r="O53" s="192"/>
      <c r="P53" s="208"/>
      <c r="Q53" s="208"/>
    </row>
    <row r="54" spans="2:17" ht="71.25" customHeight="1">
      <c r="B54" s="752" t="s">
        <v>231</v>
      </c>
      <c r="C54" s="752"/>
      <c r="D54" s="752"/>
      <c r="E54" s="752"/>
      <c r="F54" s="752"/>
      <c r="G54" s="752"/>
      <c r="H54" s="752"/>
      <c r="I54" s="752"/>
      <c r="O54" s="192"/>
      <c r="P54" s="208"/>
      <c r="Q54" s="208"/>
    </row>
    <row r="55" spans="2:17" ht="46.5" customHeight="1">
      <c r="B55" s="753" t="s">
        <v>232</v>
      </c>
      <c r="C55" s="753"/>
      <c r="D55" s="753"/>
      <c r="E55" s="753"/>
      <c r="F55" s="753"/>
      <c r="G55" s="753"/>
      <c r="H55" s="753"/>
      <c r="I55" s="753"/>
      <c r="O55" s="192" t="s">
        <v>233</v>
      </c>
      <c r="P55" s="208">
        <v>0.25</v>
      </c>
      <c r="Q55" s="208">
        <v>0.56</v>
      </c>
    </row>
    <row r="56" spans="2:17" ht="11.25" customHeight="1">
      <c r="B56" s="754" t="s">
        <v>234</v>
      </c>
      <c r="C56" s="754"/>
      <c r="D56" s="754"/>
      <c r="E56" s="754"/>
      <c r="F56" s="754"/>
      <c r="G56" s="754"/>
      <c r="H56" s="754"/>
      <c r="I56" s="754"/>
      <c r="O56" s="192" t="s">
        <v>235</v>
      </c>
      <c r="P56" s="208">
        <v>1</v>
      </c>
      <c r="Q56" s="208">
        <v>1.97</v>
      </c>
    </row>
    <row r="57" spans="2:17" ht="15.75" customHeight="1">
      <c r="B57" s="754"/>
      <c r="C57" s="754"/>
      <c r="D57" s="754"/>
      <c r="E57" s="754"/>
      <c r="F57" s="754"/>
      <c r="G57" s="754"/>
      <c r="H57" s="754"/>
      <c r="I57" s="754"/>
      <c r="O57" s="192" t="s">
        <v>236</v>
      </c>
      <c r="P57" s="208">
        <v>1.01</v>
      </c>
      <c r="Q57" s="208">
        <v>1.11</v>
      </c>
    </row>
    <row r="58" spans="15:17" ht="68.25" customHeight="1">
      <c r="O58" s="192" t="s">
        <v>237</v>
      </c>
      <c r="P58" s="208">
        <v>8</v>
      </c>
      <c r="Q58" s="208">
        <v>9.51</v>
      </c>
    </row>
    <row r="59" spans="15:17" ht="68.25" customHeight="1">
      <c r="O59" s="192" t="s">
        <v>238</v>
      </c>
      <c r="P59" s="208">
        <v>4</v>
      </c>
      <c r="Q59" s="208">
        <v>7.85</v>
      </c>
    </row>
    <row r="60" spans="15:17" ht="12.75">
      <c r="O60" s="192" t="s">
        <v>239</v>
      </c>
      <c r="P60" s="208">
        <v>0.81</v>
      </c>
      <c r="Q60" s="208">
        <v>1.99</v>
      </c>
    </row>
    <row r="61" spans="15:17" ht="12.75">
      <c r="O61" s="192" t="s">
        <v>240</v>
      </c>
      <c r="P61" s="208">
        <v>1.46</v>
      </c>
      <c r="Q61" s="208">
        <v>3.16</v>
      </c>
    </row>
    <row r="62" spans="15:17" ht="12.75">
      <c r="O62" s="192" t="s">
        <v>241</v>
      </c>
      <c r="P62" s="208">
        <v>0.94</v>
      </c>
      <c r="Q62" s="208">
        <v>1.33</v>
      </c>
    </row>
    <row r="63" spans="15:17" ht="12.75">
      <c r="O63" s="192" t="s">
        <v>242</v>
      </c>
      <c r="P63" s="208">
        <v>7.14</v>
      </c>
      <c r="Q63" s="208">
        <v>10.43</v>
      </c>
    </row>
    <row r="64" spans="15:17" ht="12.75">
      <c r="O64" s="192" t="s">
        <v>243</v>
      </c>
      <c r="P64" s="208">
        <v>1.5</v>
      </c>
      <c r="Q64" s="208">
        <v>4.49</v>
      </c>
    </row>
    <row r="65" spans="15:17" ht="12.75">
      <c r="O65" s="192" t="s">
        <v>244</v>
      </c>
      <c r="P65" s="208">
        <v>0.3</v>
      </c>
      <c r="Q65" s="208">
        <v>0.82</v>
      </c>
    </row>
    <row r="66" spans="15:17" ht="12.75">
      <c r="O66" s="192" t="s">
        <v>245</v>
      </c>
      <c r="P66" s="208">
        <v>0.56</v>
      </c>
      <c r="Q66" s="208">
        <v>0.89</v>
      </c>
    </row>
    <row r="67" spans="15:17" ht="12.75">
      <c r="O67" s="192" t="s">
        <v>246</v>
      </c>
      <c r="P67" s="208">
        <v>0.85</v>
      </c>
      <c r="Q67" s="208">
        <v>1.11</v>
      </c>
    </row>
    <row r="68" spans="15:17" ht="12.75">
      <c r="O68" s="192" t="s">
        <v>247</v>
      </c>
      <c r="P68" s="208">
        <v>3.5</v>
      </c>
      <c r="Q68" s="208">
        <v>6.22</v>
      </c>
    </row>
    <row r="69" spans="15:17" ht="12.75">
      <c r="O69" s="192" t="s">
        <v>248</v>
      </c>
      <c r="P69" s="208">
        <v>20.34</v>
      </c>
      <c r="Q69" s="208">
        <v>25</v>
      </c>
    </row>
    <row r="70" spans="15:17" ht="12.75">
      <c r="O70" s="192" t="s">
        <v>249</v>
      </c>
      <c r="P70" s="208">
        <v>19.6</v>
      </c>
      <c r="Q70" s="208">
        <v>24.23</v>
      </c>
    </row>
    <row r="71" spans="15:17" ht="12.75">
      <c r="O71" s="192" t="s">
        <v>250</v>
      </c>
      <c r="P71" s="208">
        <v>20.76</v>
      </c>
      <c r="Q71" s="208">
        <v>26.44</v>
      </c>
    </row>
    <row r="72" spans="15:17" ht="12.75">
      <c r="O72" s="192" t="s">
        <v>251</v>
      </c>
      <c r="P72" s="208">
        <v>24</v>
      </c>
      <c r="Q72" s="208">
        <v>27.86</v>
      </c>
    </row>
    <row r="73" spans="15:17" ht="12.75">
      <c r="O73" s="192" t="s">
        <v>252</v>
      </c>
      <c r="P73" s="208">
        <v>22.8</v>
      </c>
      <c r="Q73" s="208">
        <v>30.95</v>
      </c>
    </row>
    <row r="74" spans="15:17" ht="12.75">
      <c r="O74" s="192" t="s">
        <v>253</v>
      </c>
      <c r="P74" s="208">
        <v>11.1</v>
      </c>
      <c r="Q74" s="208">
        <v>16.8</v>
      </c>
    </row>
    <row r="75" spans="15:17" ht="12.75">
      <c r="O75" s="192"/>
      <c r="P75" s="192"/>
      <c r="Q75" s="192"/>
    </row>
    <row r="76" spans="15:17" ht="12.75">
      <c r="O76" s="192"/>
      <c r="P76" s="192"/>
      <c r="Q76" s="192"/>
    </row>
    <row r="77" spans="15:17" ht="12.75">
      <c r="O77" s="192"/>
      <c r="P77" s="192"/>
      <c r="Q77" s="192"/>
    </row>
    <row r="78" spans="15:17" ht="12.75">
      <c r="O78" s="192"/>
      <c r="P78" s="192"/>
      <c r="Q78" s="192"/>
    </row>
    <row r="79" spans="15:17" ht="12.75">
      <c r="O79" s="192"/>
      <c r="P79" s="192"/>
      <c r="Q79" s="192"/>
    </row>
    <row r="80" spans="15:17" ht="12.75">
      <c r="O80" s="192"/>
      <c r="P80" s="192"/>
      <c r="Q80" s="192"/>
    </row>
    <row r="81" spans="15:17" ht="12.75">
      <c r="O81" s="192"/>
      <c r="P81" s="192"/>
      <c r="Q81" s="192"/>
    </row>
    <row r="82" spans="15:17" ht="12.75">
      <c r="O82" s="192"/>
      <c r="P82" s="192"/>
      <c r="Q82" s="192"/>
    </row>
    <row r="83" spans="15:17" ht="12.75">
      <c r="O83" s="192"/>
      <c r="P83" s="192"/>
      <c r="Q83" s="192"/>
    </row>
    <row r="84" spans="15:17" ht="12.75">
      <c r="O84" s="192"/>
      <c r="P84" s="192"/>
      <c r="Q84" s="192"/>
    </row>
    <row r="85" spans="15:17" ht="12.75">
      <c r="O85" s="192"/>
      <c r="P85" s="192"/>
      <c r="Q85" s="192"/>
    </row>
    <row r="86" spans="15:17" ht="12.75">
      <c r="O86" s="192"/>
      <c r="P86" s="192"/>
      <c r="Q86" s="192"/>
    </row>
    <row r="87" spans="15:17" ht="12.75">
      <c r="O87" s="192"/>
      <c r="P87" s="192"/>
      <c r="Q87" s="192"/>
    </row>
    <row r="88" spans="15:17" ht="12.75">
      <c r="O88" s="192"/>
      <c r="P88" s="192"/>
      <c r="Q88" s="192"/>
    </row>
    <row r="89" spans="15:17" ht="12.75">
      <c r="O89" s="192"/>
      <c r="P89" s="192"/>
      <c r="Q89" s="192"/>
    </row>
  </sheetData>
  <sheetProtection/>
  <mergeCells count="37">
    <mergeCell ref="B50:G50"/>
    <mergeCell ref="B51:F51"/>
    <mergeCell ref="B52:F52"/>
    <mergeCell ref="B54:I54"/>
    <mergeCell ref="B55:I55"/>
    <mergeCell ref="B56:I57"/>
    <mergeCell ref="B46:G46"/>
    <mergeCell ref="B47:B48"/>
    <mergeCell ref="C47:C48"/>
    <mergeCell ref="D47:F47"/>
    <mergeCell ref="G47:G48"/>
    <mergeCell ref="D48:F48"/>
    <mergeCell ref="C35:F35"/>
    <mergeCell ref="C36:F36"/>
    <mergeCell ref="C37:F37"/>
    <mergeCell ref="C38:F38"/>
    <mergeCell ref="C39:F39"/>
    <mergeCell ref="H39:I44"/>
    <mergeCell ref="C44:F44"/>
    <mergeCell ref="B23:D26"/>
    <mergeCell ref="B29:I29"/>
    <mergeCell ref="B31:C31"/>
    <mergeCell ref="D31:I31"/>
    <mergeCell ref="B33:F33"/>
    <mergeCell ref="C34:F34"/>
    <mergeCell ref="B14:D14"/>
    <mergeCell ref="E14:F14"/>
    <mergeCell ref="E16:F16"/>
    <mergeCell ref="E17:F17"/>
    <mergeCell ref="E19:F19"/>
    <mergeCell ref="E22:F22"/>
    <mergeCell ref="E7:F7"/>
    <mergeCell ref="E8:F8"/>
    <mergeCell ref="E9:F9"/>
    <mergeCell ref="E10:F10"/>
    <mergeCell ref="E11:F11"/>
    <mergeCell ref="E13:F13"/>
  </mergeCells>
  <conditionalFormatting sqref="G34:G38 E21">
    <cfRule type="cellIs" priority="2" dxfId="12" operator="notBetween" stopIfTrue="1">
      <formula>$H21</formula>
      <formula>$I21</formula>
    </cfRule>
  </conditionalFormatting>
  <conditionalFormatting sqref="G51">
    <cfRule type="cellIs" priority="3" dxfId="13" operator="notBetween" stopIfTrue="1">
      <formula>$H$51</formula>
      <formula>$I$51</formula>
    </cfRule>
  </conditionalFormatting>
  <conditionalFormatting sqref="B51:F51">
    <cfRule type="expression" priority="4" dxfId="14" stopIfTrue="1">
      <formula>$J$52=1</formula>
    </cfRule>
  </conditionalFormatting>
  <conditionalFormatting sqref="E23 H23 B23">
    <cfRule type="expression" priority="5" dxfId="15" stopIfTrue="1">
      <formula>$E$22="valor total da obra"</formula>
    </cfRule>
  </conditionalFormatting>
  <conditionalFormatting sqref="B54:I54">
    <cfRule type="expression" priority="1" dxfId="16" stopIfTrue="1">
      <formula>$G$51&gt;$I$51</formula>
    </cfRule>
  </conditionalFormatting>
  <conditionalFormatting sqref="F5">
    <cfRule type="expression" priority="6" dxfId="17" stopIfTrue="1">
      <formula>$E$6=0</formula>
    </cfRule>
  </conditionalFormatting>
  <dataValidations count="9">
    <dataValidation type="list" allowBlank="1" showInputMessage="1" showErrorMessage="1" sqref="D31:I31">
      <formula1>$V$13:$V$18</formula1>
    </dataValidation>
    <dataValidation type="list" allowBlank="1" showInputMessage="1" showErrorMessage="1" sqref="E22:F22">
      <formula1>$U$13:$U$14</formula1>
    </dataValidation>
    <dataValidation type="list" allowBlank="1" showInputMessage="1" showErrorMessage="1" sqref="E19:F19">
      <formula1>$T$13:$T$14</formula1>
    </dataValidation>
    <dataValidation type="list" allowBlank="1" showInputMessage="1" showErrorMessage="1" sqref="B14:D14">
      <formula1>$S$13:$S$14</formula1>
    </dataValidation>
    <dataValidation type="list" allowBlank="1" showInputMessage="1" showErrorMessage="1" sqref="E10:F10">
      <formula1>$R$13:$R$14</formula1>
    </dataValidation>
    <dataValidation type="decimal" allowBlank="1" showInputMessage="1" showErrorMessage="1" sqref="E21">
      <formula1>G21</formula1>
      <formula2>H21</formula2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list" allowBlank="1" showInputMessage="1" showErrorMessage="1" sqref="B15:D15">
      <formula1>CREACAU</formula1>
    </dataValidation>
    <dataValidation type="list" allowBlank="1" showInputMessage="1" showErrorMessage="1" sqref="E6">
      <formula1>$Q$13:$Q$14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7"/>
  <dimension ref="A1:R64"/>
  <sheetViews>
    <sheetView view="pageBreakPreview" zoomScaleNormal="130" zoomScaleSheetLayoutView="100" zoomScalePageLayoutView="0" workbookViewId="0" topLeftCell="A19">
      <selection activeCell="A34" sqref="A34:F34"/>
    </sheetView>
  </sheetViews>
  <sheetFormatPr defaultColWidth="9.140625" defaultRowHeight="12.75"/>
  <cols>
    <col min="1" max="2" width="6.00390625" style="190" customWidth="1"/>
    <col min="3" max="3" width="34.7109375" style="190" customWidth="1"/>
    <col min="4" max="4" width="11.28125" style="190" customWidth="1"/>
    <col min="5" max="5" width="11.00390625" style="191" customWidth="1"/>
    <col min="6" max="6" width="9.140625" style="190" customWidth="1"/>
    <col min="7" max="7" width="1.57421875" style="190" customWidth="1"/>
    <col min="8" max="13" width="9.140625" style="190" customWidth="1"/>
    <col min="14" max="16384" width="9.140625" style="190" customWidth="1"/>
  </cols>
  <sheetData>
    <row r="1" spans="1:6" ht="31.5" customHeight="1">
      <c r="A1" s="755" t="s">
        <v>254</v>
      </c>
      <c r="B1" s="755"/>
      <c r="C1" s="755"/>
      <c r="D1" s="755"/>
      <c r="E1" s="755"/>
      <c r="F1" s="755"/>
    </row>
    <row r="2" spans="1:6" ht="24.75" customHeight="1">
      <c r="A2" s="221"/>
      <c r="B2" s="221"/>
      <c r="C2" s="221"/>
      <c r="D2" s="221"/>
      <c r="E2" s="222"/>
      <c r="F2" s="221"/>
    </row>
    <row r="3" spans="1:6" ht="73.5" customHeight="1">
      <c r="A3" s="756" t="str">
        <f>"         A "&amp;'BDI Insumos'!G6&amp;" "&amp;'BDI Insumos'!$F$6&amp;" declara para os devidos e necessários fins que na elaboração do orçamento referente ao objeto '"&amp;'BDI Insumos'!$E$9&amp;"', CT nº "&amp;'BDI Insumos'!$E$8&amp;", foi adotado percentual de BDI de "&amp;D30&amp;" % (conforme planilha da composição analítica abaixo) e encargos "&amp;'BDI Insumos'!$E$10&amp;" em conformidade com o estabelecido no SINAPI."</f>
        <v>         A Prefeitura Municipal de Fontoura Xavier declara para os devidos e necessários fins que na elaboração do orçamento referente ao objeto ''Obra: Pavimentação Asfáltica da Avenida 25 de Abril'', CT nº , foi adotado percentual de BDI de 12,62 % (conforme planilha da composição analítica abaixo) e encargos sem desoneração em conformidade com o estabelecido no SINAPI.</v>
      </c>
      <c r="B3" s="756"/>
      <c r="C3" s="756"/>
      <c r="D3" s="756"/>
      <c r="E3" s="756"/>
      <c r="F3" s="756"/>
    </row>
    <row r="4" spans="1:6" ht="34.5" customHeight="1">
      <c r="A4" s="756" t="str">
        <f>"         Declaramos ainda que a alíquota de ISSQN no município é de "&amp;'BDI Insumos'!$E$21&amp;"%, a incidir sobre o "&amp;'BDI Insumos'!$E$22&amp;"."</f>
        <v>         Declaramos ainda que a alíquota de ISSQN no município é de 2%, a incidir sobre o valor da mão de obra.</v>
      </c>
      <c r="B4" s="756"/>
      <c r="C4" s="756"/>
      <c r="D4" s="756"/>
      <c r="E4" s="756"/>
      <c r="F4" s="756"/>
    </row>
    <row r="5" spans="1:6" ht="15" customHeight="1">
      <c r="A5" s="757" t="str">
        <f>IF('BDI Insumos'!E22="valor total da obra","","Para a obra em questão é considerada a relação de "&amp;'BDI Insumos'!$E$23&amp;"% é mão de obra e "&amp;100-'BDI Insumos'!$E$23&amp;"% é material.")</f>
        <v>Para a obra em questão é considerada a relação de % é mão de obra e 100% é material.</v>
      </c>
      <c r="B5" s="757"/>
      <c r="C5" s="757"/>
      <c r="D5" s="757"/>
      <c r="E5" s="757"/>
      <c r="F5" s="757"/>
    </row>
    <row r="6" spans="1:6" ht="15" customHeight="1">
      <c r="A6" s="758" t="str">
        <f>"         O regime de execução da obra será "&amp;'BDI Insumos'!E19&amp;"."</f>
        <v>         O regime de execução da obra será empreitada por preço global.</v>
      </c>
      <c r="B6" s="758"/>
      <c r="C6" s="758"/>
      <c r="D6" s="758"/>
      <c r="E6" s="758"/>
      <c r="F6" s="758"/>
    </row>
    <row r="7" spans="1:6" ht="33.75" customHeight="1">
      <c r="A7" s="759" t="str">
        <f>"Oportunamente, declaramos que a opção de orçamento considerando os encargos "&amp;'BDI Insumos'!E10&amp;" é a opção mais adequada para a Administração Pública Municipal."</f>
        <v>Oportunamente, declaramos que a opção de orçamento considerando os encargos sem desoneração é a opção mais adequada para a Administração Pública Municipal.</v>
      </c>
      <c r="B7" s="759"/>
      <c r="C7" s="759"/>
      <c r="D7" s="759"/>
      <c r="E7" s="759"/>
      <c r="F7" s="759"/>
    </row>
    <row r="8" spans="1:6" ht="38.25" customHeight="1" thickBot="1">
      <c r="A8" s="223"/>
      <c r="B8" s="223"/>
      <c r="C8" s="223"/>
      <c r="D8" s="223"/>
      <c r="E8" s="224"/>
      <c r="F8" s="224"/>
    </row>
    <row r="9" spans="1:18" ht="27.75" customHeight="1" thickBot="1">
      <c r="A9" s="760" t="s">
        <v>255</v>
      </c>
      <c r="B9" s="761"/>
      <c r="C9" s="761"/>
      <c r="D9" s="762"/>
      <c r="E9" s="225"/>
      <c r="F9" s="225"/>
      <c r="H9" s="192"/>
      <c r="I9" s="226"/>
      <c r="J9" s="192"/>
      <c r="K9" s="192"/>
      <c r="L9" s="192"/>
      <c r="M9" s="192"/>
      <c r="R9" s="456"/>
    </row>
    <row r="10" spans="1:13" ht="6" customHeight="1" thickBot="1">
      <c r="A10" s="227"/>
      <c r="B10" s="221"/>
      <c r="C10" s="221"/>
      <c r="D10" s="228"/>
      <c r="E10" s="229"/>
      <c r="F10" s="230"/>
      <c r="H10" s="192"/>
      <c r="I10" s="192"/>
      <c r="J10" s="192"/>
      <c r="K10" s="192"/>
      <c r="L10" s="192"/>
      <c r="M10" s="192"/>
    </row>
    <row r="11" spans="1:13" ht="24" customHeight="1" thickBot="1">
      <c r="A11" s="763" t="s">
        <v>256</v>
      </c>
      <c r="B11" s="764"/>
      <c r="C11" s="765" t="s">
        <v>207</v>
      </c>
      <c r="D11" s="766"/>
      <c r="E11" s="231"/>
      <c r="F11" s="231"/>
      <c r="H11" s="192"/>
      <c r="I11" s="192"/>
      <c r="J11" s="192"/>
      <c r="K11" s="192"/>
      <c r="L11" s="192"/>
      <c r="M11" s="192"/>
    </row>
    <row r="12" spans="1:13" ht="5.25" customHeight="1" thickBot="1">
      <c r="A12" s="227"/>
      <c r="B12" s="221"/>
      <c r="C12" s="221"/>
      <c r="D12" s="228"/>
      <c r="E12" s="229"/>
      <c r="F12" s="230"/>
      <c r="H12" s="192"/>
      <c r="I12" s="192"/>
      <c r="J12" s="192"/>
      <c r="K12" s="192"/>
      <c r="L12" s="192"/>
      <c r="M12" s="192"/>
    </row>
    <row r="13" spans="1:13" ht="13.5" thickBot="1">
      <c r="A13" s="767" t="s">
        <v>184</v>
      </c>
      <c r="B13" s="768"/>
      <c r="C13" s="768"/>
      <c r="D13" s="232" t="s">
        <v>185</v>
      </c>
      <c r="E13" s="233"/>
      <c r="F13" s="233"/>
      <c r="H13" s="192"/>
      <c r="I13" s="192" t="s">
        <v>188</v>
      </c>
      <c r="J13" s="192"/>
      <c r="K13" s="192"/>
      <c r="L13" s="192" t="s">
        <v>189</v>
      </c>
      <c r="M13" s="192" t="s">
        <v>187</v>
      </c>
    </row>
    <row r="14" spans="1:13" ht="12.75">
      <c r="A14" s="234" t="s">
        <v>190</v>
      </c>
      <c r="B14" s="769" t="s">
        <v>191</v>
      </c>
      <c r="C14" s="770"/>
      <c r="D14" s="122">
        <v>1.5</v>
      </c>
      <c r="E14" s="235"/>
      <c r="F14" s="235"/>
      <c r="H14" s="192"/>
      <c r="I14" s="192" t="s">
        <v>183</v>
      </c>
      <c r="J14" s="192"/>
      <c r="K14" s="192" t="s">
        <v>192</v>
      </c>
      <c r="L14" s="208">
        <v>3</v>
      </c>
      <c r="M14" s="208">
        <v>5.5</v>
      </c>
    </row>
    <row r="15" spans="1:13" ht="12.75">
      <c r="A15" s="236" t="s">
        <v>193</v>
      </c>
      <c r="B15" s="771" t="s">
        <v>194</v>
      </c>
      <c r="C15" s="772"/>
      <c r="D15" s="122">
        <v>0.3</v>
      </c>
      <c r="E15" s="235"/>
      <c r="F15" s="235"/>
      <c r="H15" s="192"/>
      <c r="I15" s="192" t="s">
        <v>195</v>
      </c>
      <c r="J15" s="192"/>
      <c r="K15" s="192" t="s">
        <v>196</v>
      </c>
      <c r="L15" s="208">
        <v>0.8</v>
      </c>
      <c r="M15" s="208">
        <v>1</v>
      </c>
    </row>
    <row r="16" spans="1:13" ht="12.75">
      <c r="A16" s="236" t="s">
        <v>197</v>
      </c>
      <c r="B16" s="771" t="s">
        <v>198</v>
      </c>
      <c r="C16" s="772"/>
      <c r="D16" s="122">
        <v>0.56</v>
      </c>
      <c r="E16" s="235"/>
      <c r="F16" s="235"/>
      <c r="H16" s="192"/>
      <c r="I16" s="192" t="s">
        <v>199</v>
      </c>
      <c r="J16" s="192"/>
      <c r="K16" s="192" t="s">
        <v>200</v>
      </c>
      <c r="L16" s="208">
        <v>0.97</v>
      </c>
      <c r="M16" s="208">
        <v>1.27</v>
      </c>
    </row>
    <row r="17" spans="1:13" ht="12.75">
      <c r="A17" s="236" t="s">
        <v>201</v>
      </c>
      <c r="B17" s="771" t="s">
        <v>257</v>
      </c>
      <c r="C17" s="772"/>
      <c r="D17" s="122">
        <v>0.85</v>
      </c>
      <c r="E17" s="235"/>
      <c r="F17" s="235"/>
      <c r="H17" s="192"/>
      <c r="I17" s="192" t="s">
        <v>203</v>
      </c>
      <c r="J17" s="192"/>
      <c r="K17" s="192" t="s">
        <v>204</v>
      </c>
      <c r="L17" s="208">
        <v>0.59</v>
      </c>
      <c r="M17" s="208">
        <v>1.39</v>
      </c>
    </row>
    <row r="18" spans="1:13" ht="12.75">
      <c r="A18" s="236" t="s">
        <v>205</v>
      </c>
      <c r="B18" s="771" t="s">
        <v>206</v>
      </c>
      <c r="C18" s="772"/>
      <c r="D18" s="122">
        <v>5.11</v>
      </c>
      <c r="E18" s="235"/>
      <c r="F18" s="235"/>
      <c r="H18" s="192"/>
      <c r="I18" s="192" t="s">
        <v>207</v>
      </c>
      <c r="J18" s="192"/>
      <c r="K18" s="192" t="s">
        <v>208</v>
      </c>
      <c r="L18" s="208">
        <v>6.16</v>
      </c>
      <c r="M18" s="208">
        <v>8.96</v>
      </c>
    </row>
    <row r="19" spans="1:13" ht="12.75">
      <c r="A19" s="236" t="s">
        <v>209</v>
      </c>
      <c r="B19" s="771" t="s">
        <v>210</v>
      </c>
      <c r="C19" s="772"/>
      <c r="D19" s="122">
        <f>SUM(D20:D23)</f>
        <v>3.65</v>
      </c>
      <c r="E19" s="773"/>
      <c r="F19" s="773"/>
      <c r="H19" s="192"/>
      <c r="I19" s="192"/>
      <c r="J19" s="192"/>
      <c r="K19" s="192" t="s">
        <v>212</v>
      </c>
      <c r="L19" s="208">
        <v>3.8</v>
      </c>
      <c r="M19" s="208">
        <v>4.67</v>
      </c>
    </row>
    <row r="20" spans="1:13" ht="12.75">
      <c r="A20" s="236"/>
      <c r="B20" s="237"/>
      <c r="C20" s="238" t="s">
        <v>96</v>
      </c>
      <c r="D20" s="123">
        <v>0.65</v>
      </c>
      <c r="E20" s="773"/>
      <c r="F20" s="773"/>
      <c r="H20" s="192"/>
      <c r="I20" s="192"/>
      <c r="J20" s="192"/>
      <c r="K20" s="192"/>
      <c r="L20" s="208"/>
      <c r="M20" s="208"/>
    </row>
    <row r="21" spans="1:13" ht="12.75">
      <c r="A21" s="236"/>
      <c r="B21" s="237"/>
      <c r="C21" s="238" t="s">
        <v>97</v>
      </c>
      <c r="D21" s="123">
        <v>3</v>
      </c>
      <c r="E21" s="773"/>
      <c r="F21" s="773"/>
      <c r="H21" s="192"/>
      <c r="I21" s="192"/>
      <c r="J21" s="192"/>
      <c r="K21" s="192"/>
      <c r="L21" s="208"/>
      <c r="M21" s="208"/>
    </row>
    <row r="22" spans="1:13" ht="12.75">
      <c r="A22" s="236"/>
      <c r="B22" s="237"/>
      <c r="C22" s="238" t="s">
        <v>258</v>
      </c>
      <c r="D22" s="123">
        <v>0</v>
      </c>
      <c r="E22" s="773"/>
      <c r="F22" s="773"/>
      <c r="H22" s="192"/>
      <c r="I22" s="192"/>
      <c r="J22" s="192"/>
      <c r="K22" s="192"/>
      <c r="L22" s="208"/>
      <c r="M22" s="208"/>
    </row>
    <row r="23" spans="1:13" ht="13.5" thickBot="1">
      <c r="A23" s="239"/>
      <c r="B23" s="240"/>
      <c r="C23" s="241" t="s">
        <v>259</v>
      </c>
      <c r="D23" s="124">
        <v>0</v>
      </c>
      <c r="E23" s="773"/>
      <c r="F23" s="773"/>
      <c r="H23" s="192"/>
      <c r="I23" s="192"/>
      <c r="J23" s="192"/>
      <c r="K23" s="192"/>
      <c r="L23" s="208"/>
      <c r="M23" s="208"/>
    </row>
    <row r="24" spans="1:13" ht="4.5" customHeight="1" thickBot="1">
      <c r="A24" s="221"/>
      <c r="B24" s="221"/>
      <c r="C24" s="221"/>
      <c r="D24" s="221"/>
      <c r="E24" s="222"/>
      <c r="F24" s="221"/>
      <c r="H24" s="192"/>
      <c r="I24" s="192"/>
      <c r="J24" s="192"/>
      <c r="K24" s="192" t="s">
        <v>217</v>
      </c>
      <c r="L24" s="208">
        <v>0.5</v>
      </c>
      <c r="M24" s="208">
        <v>0.97</v>
      </c>
    </row>
    <row r="25" spans="1:13" ht="13.5" thickBot="1">
      <c r="A25" s="774" t="s">
        <v>218</v>
      </c>
      <c r="B25" s="775"/>
      <c r="C25" s="775"/>
      <c r="D25" s="776"/>
      <c r="E25" s="242"/>
      <c r="F25" s="221"/>
      <c r="H25" s="192"/>
      <c r="I25" s="192"/>
      <c r="J25" s="192"/>
      <c r="K25" s="192" t="s">
        <v>219</v>
      </c>
      <c r="L25" s="208">
        <v>1.02</v>
      </c>
      <c r="M25" s="208">
        <v>1.21</v>
      </c>
    </row>
    <row r="26" spans="1:13" ht="22.5" customHeight="1" thickBot="1">
      <c r="A26" s="777"/>
      <c r="B26" s="779" t="s">
        <v>220</v>
      </c>
      <c r="C26" s="243" t="s">
        <v>221</v>
      </c>
      <c r="D26" s="781">
        <v>-1</v>
      </c>
      <c r="E26" s="222"/>
      <c r="F26" s="221"/>
      <c r="H26" s="192"/>
      <c r="I26" s="192"/>
      <c r="J26" s="192"/>
      <c r="K26" s="192" t="s">
        <v>222</v>
      </c>
      <c r="L26" s="208">
        <v>6.64</v>
      </c>
      <c r="M26" s="208">
        <v>8.69</v>
      </c>
    </row>
    <row r="27" spans="1:13" ht="21" customHeight="1" thickBot="1">
      <c r="A27" s="778"/>
      <c r="B27" s="780"/>
      <c r="C27" s="244" t="s">
        <v>223</v>
      </c>
      <c r="D27" s="782"/>
      <c r="E27" s="222"/>
      <c r="F27" s="221"/>
      <c r="H27" s="192"/>
      <c r="I27" s="192"/>
      <c r="J27" s="192"/>
      <c r="K27" s="192" t="s">
        <v>224</v>
      </c>
      <c r="L27" s="208">
        <v>3.43</v>
      </c>
      <c r="M27" s="208">
        <v>6.71</v>
      </c>
    </row>
    <row r="28" spans="1:13" ht="3" customHeight="1" thickBot="1">
      <c r="A28" s="221"/>
      <c r="B28" s="221"/>
      <c r="C28" s="221"/>
      <c r="D28" s="221"/>
      <c r="E28" s="222"/>
      <c r="F28" s="221"/>
      <c r="H28" s="192"/>
      <c r="I28" s="192"/>
      <c r="J28" s="192"/>
      <c r="K28" s="192" t="s">
        <v>225</v>
      </c>
      <c r="L28" s="208">
        <v>0.28</v>
      </c>
      <c r="M28" s="208">
        <v>0.75</v>
      </c>
    </row>
    <row r="29" spans="1:13" ht="15" customHeight="1" thickBot="1">
      <c r="A29" s="783" t="s">
        <v>226</v>
      </c>
      <c r="B29" s="784"/>
      <c r="C29" s="784"/>
      <c r="D29" s="785"/>
      <c r="E29" s="786" t="s">
        <v>396</v>
      </c>
      <c r="F29" s="787"/>
      <c r="H29" s="192"/>
      <c r="I29" s="192"/>
      <c r="J29" s="192"/>
      <c r="K29" s="192" t="s">
        <v>227</v>
      </c>
      <c r="L29" s="208">
        <v>1</v>
      </c>
      <c r="M29" s="208">
        <v>1.74</v>
      </c>
    </row>
    <row r="30" spans="1:13" ht="15.75" thickBot="1">
      <c r="A30" s="788" t="s">
        <v>226</v>
      </c>
      <c r="B30" s="789"/>
      <c r="C30" s="789"/>
      <c r="D30" s="125">
        <f>100*ROUND((((1+D14/100+D15/100+D16/100)*(1+D17/100)*(1+D18/100))/(1-D19/100))-1,4)</f>
        <v>12.620000000000001</v>
      </c>
      <c r="E30" s="786"/>
      <c r="F30" s="787"/>
      <c r="H30" s="192"/>
      <c r="I30" s="192"/>
      <c r="J30" s="192"/>
      <c r="K30" s="192" t="s">
        <v>228</v>
      </c>
      <c r="L30" s="208">
        <v>0.94</v>
      </c>
      <c r="M30" s="208">
        <v>1.17</v>
      </c>
    </row>
    <row r="31" spans="1:13" ht="8.25" customHeight="1">
      <c r="A31" s="221"/>
      <c r="B31" s="221"/>
      <c r="C31" s="221"/>
      <c r="D31" s="221"/>
      <c r="E31" s="222"/>
      <c r="F31" s="221"/>
      <c r="H31" s="192"/>
      <c r="I31" s="192"/>
      <c r="J31" s="192"/>
      <c r="K31" s="192" t="s">
        <v>260</v>
      </c>
      <c r="L31" s="208">
        <v>5.29</v>
      </c>
      <c r="M31" s="208">
        <v>7.93</v>
      </c>
    </row>
    <row r="32" spans="1:13" ht="17.25" customHeight="1">
      <c r="A32" s="221"/>
      <c r="B32" s="221"/>
      <c r="C32" s="221"/>
      <c r="D32" s="221"/>
      <c r="E32" s="222"/>
      <c r="F32" s="221"/>
      <c r="H32" s="192"/>
      <c r="I32" s="192"/>
      <c r="J32" s="192"/>
      <c r="K32" s="192"/>
      <c r="L32" s="208"/>
      <c r="M32" s="208"/>
    </row>
    <row r="33" spans="1:13" ht="15" customHeight="1">
      <c r="A33" s="221"/>
      <c r="B33" s="221"/>
      <c r="C33" s="221"/>
      <c r="D33" s="791" t="str">
        <f>CONCATENATE('BDI Insumos'!F6,", ",'BDI Insumos'!E11)</f>
        <v>Fontoura Xavier, SINAPI 06/2022</v>
      </c>
      <c r="E33" s="791"/>
      <c r="F33" s="791"/>
      <c r="H33" s="192"/>
      <c r="I33" s="192"/>
      <c r="J33" s="192"/>
      <c r="K33" s="192"/>
      <c r="L33" s="208"/>
      <c r="M33" s="208"/>
    </row>
    <row r="34" spans="1:13" ht="34.5" customHeight="1">
      <c r="A34" s="792"/>
      <c r="B34" s="792"/>
      <c r="C34" s="792"/>
      <c r="D34" s="792"/>
      <c r="E34" s="792"/>
      <c r="F34" s="792"/>
      <c r="H34" s="192"/>
      <c r="I34" s="192"/>
      <c r="J34" s="192"/>
      <c r="K34" s="192" t="s">
        <v>233</v>
      </c>
      <c r="L34" s="208">
        <v>0.25</v>
      </c>
      <c r="M34" s="208">
        <v>0.56</v>
      </c>
    </row>
    <row r="35" spans="1:13" ht="11.25" customHeight="1">
      <c r="A35" s="245"/>
      <c r="B35" s="245"/>
      <c r="C35" s="221"/>
      <c r="D35" s="221"/>
      <c r="E35" s="222"/>
      <c r="F35" s="221"/>
      <c r="H35" s="192"/>
      <c r="I35" s="192"/>
      <c r="J35" s="192"/>
      <c r="K35" s="192" t="s">
        <v>235</v>
      </c>
      <c r="L35" s="208">
        <v>1</v>
      </c>
      <c r="M35" s="208">
        <v>1.97</v>
      </c>
    </row>
    <row r="36" spans="1:13" ht="12.75">
      <c r="A36" s="793" t="s">
        <v>558</v>
      </c>
      <c r="B36" s="793"/>
      <c r="C36" s="793"/>
      <c r="D36" s="221"/>
      <c r="E36" s="222"/>
      <c r="F36" s="221"/>
      <c r="H36" s="192"/>
      <c r="I36" s="192"/>
      <c r="J36" s="192"/>
      <c r="K36" s="192" t="s">
        <v>236</v>
      </c>
      <c r="L36" s="208">
        <v>1.01</v>
      </c>
      <c r="M36" s="208">
        <v>1.11</v>
      </c>
    </row>
    <row r="37" spans="1:13" ht="12.75">
      <c r="A37" s="790" t="s">
        <v>559</v>
      </c>
      <c r="B37" s="790"/>
      <c r="C37" s="790"/>
      <c r="D37" s="221"/>
      <c r="E37" s="229"/>
      <c r="F37" s="221"/>
      <c r="H37" s="192"/>
      <c r="I37" s="192"/>
      <c r="J37" s="192"/>
      <c r="K37" s="192" t="s">
        <v>237</v>
      </c>
      <c r="L37" s="208">
        <v>8</v>
      </c>
      <c r="M37" s="208">
        <v>9.51</v>
      </c>
    </row>
    <row r="38" spans="1:13" ht="12.75">
      <c r="A38" s="790"/>
      <c r="B38" s="790"/>
      <c r="C38" s="790"/>
      <c r="D38" s="221"/>
      <c r="E38" s="229"/>
      <c r="F38" s="221"/>
      <c r="H38" s="192"/>
      <c r="I38" s="192"/>
      <c r="J38" s="192"/>
      <c r="K38" s="192" t="s">
        <v>238</v>
      </c>
      <c r="L38" s="208">
        <v>4</v>
      </c>
      <c r="M38" s="208">
        <v>7.85</v>
      </c>
    </row>
    <row r="39" spans="1:13" ht="8.25" customHeight="1">
      <c r="A39" s="221"/>
      <c r="B39" s="221"/>
      <c r="C39" s="221"/>
      <c r="D39" s="221"/>
      <c r="E39" s="222"/>
      <c r="F39" s="221"/>
      <c r="H39" s="192"/>
      <c r="I39" s="192"/>
      <c r="J39" s="192"/>
      <c r="K39" s="192" t="s">
        <v>239</v>
      </c>
      <c r="L39" s="208">
        <v>0.81</v>
      </c>
      <c r="M39" s="208">
        <v>1.99</v>
      </c>
    </row>
    <row r="40" spans="1:13" ht="12.75">
      <c r="A40" s="245"/>
      <c r="B40" s="245"/>
      <c r="C40" s="221"/>
      <c r="D40" s="221"/>
      <c r="E40" s="222"/>
      <c r="F40" s="221"/>
      <c r="H40" s="192"/>
      <c r="I40" s="192"/>
      <c r="J40" s="192"/>
      <c r="K40" s="192" t="s">
        <v>240</v>
      </c>
      <c r="L40" s="208">
        <v>1.46</v>
      </c>
      <c r="M40" s="208">
        <v>3.16</v>
      </c>
    </row>
    <row r="41" spans="1:13" ht="12.75">
      <c r="A41" s="793" t="s">
        <v>560</v>
      </c>
      <c r="B41" s="793"/>
      <c r="C41" s="793"/>
      <c r="D41" s="221"/>
      <c r="E41" s="222"/>
      <c r="F41" s="221"/>
      <c r="H41" s="192"/>
      <c r="I41" s="192"/>
      <c r="J41" s="192"/>
      <c r="K41" s="192" t="s">
        <v>241</v>
      </c>
      <c r="L41" s="208">
        <v>0.94</v>
      </c>
      <c r="M41" s="208">
        <v>1.33</v>
      </c>
    </row>
    <row r="42" spans="1:13" ht="12.75">
      <c r="A42" s="790" t="s">
        <v>561</v>
      </c>
      <c r="B42" s="790"/>
      <c r="C42" s="790"/>
      <c r="H42" s="192"/>
      <c r="I42" s="192"/>
      <c r="J42" s="192"/>
      <c r="K42" s="192" t="s">
        <v>244</v>
      </c>
      <c r="L42" s="208">
        <v>0.3</v>
      </c>
      <c r="M42" s="208">
        <v>0.82</v>
      </c>
    </row>
    <row r="43" spans="8:13" ht="12.75">
      <c r="H43" s="192"/>
      <c r="I43" s="192"/>
      <c r="J43" s="192"/>
      <c r="K43" s="192" t="s">
        <v>247</v>
      </c>
      <c r="L43" s="208">
        <v>3.5</v>
      </c>
      <c r="M43" s="208">
        <v>6.22</v>
      </c>
    </row>
    <row r="44" spans="8:13" ht="12.75">
      <c r="H44" s="192"/>
      <c r="I44" s="192"/>
      <c r="J44" s="192"/>
      <c r="K44" s="192" t="s">
        <v>248</v>
      </c>
      <c r="L44" s="208">
        <v>20.34</v>
      </c>
      <c r="M44" s="208">
        <v>25</v>
      </c>
    </row>
    <row r="45" spans="8:13" ht="12.75">
      <c r="H45" s="192"/>
      <c r="I45" s="192"/>
      <c r="J45" s="192"/>
      <c r="K45" s="192" t="s">
        <v>249</v>
      </c>
      <c r="L45" s="208">
        <v>19.6</v>
      </c>
      <c r="M45" s="208">
        <v>24.23</v>
      </c>
    </row>
    <row r="46" spans="8:13" ht="12.75">
      <c r="H46" s="192"/>
      <c r="I46" s="192"/>
      <c r="J46" s="192"/>
      <c r="K46" s="192" t="s">
        <v>250</v>
      </c>
      <c r="L46" s="208">
        <v>20.76</v>
      </c>
      <c r="M46" s="208">
        <v>26.44</v>
      </c>
    </row>
    <row r="47" spans="8:13" ht="12.75">
      <c r="H47" s="192"/>
      <c r="I47" s="192"/>
      <c r="J47" s="192"/>
      <c r="K47" s="192" t="s">
        <v>251</v>
      </c>
      <c r="L47" s="208">
        <v>24</v>
      </c>
      <c r="M47" s="208">
        <v>27.86</v>
      </c>
    </row>
    <row r="48" spans="8:13" ht="12.75">
      <c r="H48" s="192"/>
      <c r="I48" s="192"/>
      <c r="J48" s="192"/>
      <c r="K48" s="192" t="s">
        <v>252</v>
      </c>
      <c r="L48" s="208">
        <v>22.8</v>
      </c>
      <c r="M48" s="208">
        <v>30.95</v>
      </c>
    </row>
    <row r="49" spans="8:13" ht="12.75">
      <c r="H49" s="192"/>
      <c r="I49" s="192"/>
      <c r="J49" s="192"/>
      <c r="K49" s="192" t="s">
        <v>253</v>
      </c>
      <c r="L49" s="208">
        <v>11.1</v>
      </c>
      <c r="M49" s="208">
        <v>16.8</v>
      </c>
    </row>
    <row r="50" spans="8:13" ht="12.75">
      <c r="H50" s="192"/>
      <c r="I50" s="192"/>
      <c r="J50" s="192"/>
      <c r="K50" s="192"/>
      <c r="L50" s="192"/>
      <c r="M50" s="192"/>
    </row>
    <row r="51" spans="8:13" ht="12.75">
      <c r="H51" s="192"/>
      <c r="I51" s="192"/>
      <c r="J51" s="192"/>
      <c r="K51" s="192"/>
      <c r="L51" s="192"/>
      <c r="M51" s="192"/>
    </row>
    <row r="52" spans="8:13" ht="12.75">
      <c r="H52" s="192"/>
      <c r="I52" s="192"/>
      <c r="J52" s="192"/>
      <c r="K52" s="192"/>
      <c r="L52" s="192"/>
      <c r="M52" s="192"/>
    </row>
    <row r="53" spans="8:13" ht="12.75">
      <c r="H53" s="192"/>
      <c r="I53" s="192"/>
      <c r="J53" s="192"/>
      <c r="K53" s="192"/>
      <c r="L53" s="192"/>
      <c r="M53" s="192"/>
    </row>
    <row r="54" spans="8:13" ht="12.75">
      <c r="H54" s="192"/>
      <c r="I54" s="192"/>
      <c r="J54" s="192"/>
      <c r="K54" s="192"/>
      <c r="L54" s="192"/>
      <c r="M54" s="192"/>
    </row>
    <row r="55" spans="8:13" ht="12.75">
      <c r="H55" s="192"/>
      <c r="I55" s="192"/>
      <c r="J55" s="192"/>
      <c r="K55" s="192"/>
      <c r="L55" s="192"/>
      <c r="M55" s="192"/>
    </row>
    <row r="56" spans="8:13" ht="12.75">
      <c r="H56" s="192"/>
      <c r="I56" s="192"/>
      <c r="J56" s="192"/>
      <c r="K56" s="192"/>
      <c r="L56" s="192"/>
      <c r="M56" s="192"/>
    </row>
    <row r="57" spans="8:13" ht="12.75">
      <c r="H57" s="192"/>
      <c r="I57" s="192"/>
      <c r="J57" s="192"/>
      <c r="K57" s="192"/>
      <c r="L57" s="192"/>
      <c r="M57" s="192"/>
    </row>
    <row r="58" spans="8:13" ht="12.75">
      <c r="H58" s="192"/>
      <c r="I58" s="192"/>
      <c r="J58" s="192"/>
      <c r="K58" s="192"/>
      <c r="L58" s="192"/>
      <c r="M58" s="192"/>
    </row>
    <row r="59" spans="8:13" ht="12.75">
      <c r="H59" s="192"/>
      <c r="I59" s="192"/>
      <c r="J59" s="192"/>
      <c r="K59" s="192"/>
      <c r="L59" s="192"/>
      <c r="M59" s="192"/>
    </row>
    <row r="60" spans="8:13" ht="12.75">
      <c r="H60" s="192"/>
      <c r="I60" s="192"/>
      <c r="J60" s="192"/>
      <c r="K60" s="192"/>
      <c r="L60" s="192"/>
      <c r="M60" s="192"/>
    </row>
    <row r="61" spans="8:13" ht="12.75">
      <c r="H61" s="192"/>
      <c r="I61" s="192"/>
      <c r="J61" s="192"/>
      <c r="K61" s="192"/>
      <c r="L61" s="192"/>
      <c r="M61" s="192"/>
    </row>
    <row r="62" spans="8:13" ht="12.75">
      <c r="H62" s="192"/>
      <c r="I62" s="192"/>
      <c r="J62" s="192"/>
      <c r="K62" s="192"/>
      <c r="L62" s="192"/>
      <c r="M62" s="192"/>
    </row>
    <row r="63" spans="8:13" ht="12.75">
      <c r="H63" s="192"/>
      <c r="I63" s="192"/>
      <c r="J63" s="192"/>
      <c r="K63" s="192"/>
      <c r="L63" s="192"/>
      <c r="M63" s="192"/>
    </row>
    <row r="64" spans="8:13" ht="12.75">
      <c r="H64" s="192"/>
      <c r="I64" s="192"/>
      <c r="J64" s="192"/>
      <c r="K64" s="192"/>
      <c r="L64" s="192"/>
      <c r="M64" s="192"/>
    </row>
  </sheetData>
  <sheetProtection/>
  <mergeCells count="31">
    <mergeCell ref="A42:C42"/>
    <mergeCell ref="D33:F33"/>
    <mergeCell ref="A34:F34"/>
    <mergeCell ref="A36:C36"/>
    <mergeCell ref="A37:C37"/>
    <mergeCell ref="A38:C38"/>
    <mergeCell ref="A41:C41"/>
    <mergeCell ref="A26:A27"/>
    <mergeCell ref="B26:B27"/>
    <mergeCell ref="D26:D27"/>
    <mergeCell ref="A29:D29"/>
    <mergeCell ref="E29:F30"/>
    <mergeCell ref="A30:C30"/>
    <mergeCell ref="B16:C16"/>
    <mergeCell ref="B17:C17"/>
    <mergeCell ref="B18:C18"/>
    <mergeCell ref="B19:C19"/>
    <mergeCell ref="E19:F23"/>
    <mergeCell ref="A25:D25"/>
    <mergeCell ref="A9:D9"/>
    <mergeCell ref="A11:B11"/>
    <mergeCell ref="C11:D11"/>
    <mergeCell ref="A13:C13"/>
    <mergeCell ref="B14:C14"/>
    <mergeCell ref="B15:C15"/>
    <mergeCell ref="A1:F1"/>
    <mergeCell ref="A3:F3"/>
    <mergeCell ref="A4:F4"/>
    <mergeCell ref="A5:F5"/>
    <mergeCell ref="A6:F6"/>
    <mergeCell ref="A7:F7"/>
  </mergeCells>
  <dataValidations count="2">
    <dataValidation type="decimal" allowBlank="1" showInputMessage="1" showErrorMessage="1" error="O valor inserido está fora dos limites estabelecidos pelo acórdão 2622/2013 do TCU ou é inválido." sqref="D20:D23">
      <formula1>E20</formula1>
      <formula2>F20</formula2>
    </dataValidation>
    <dataValidation allowBlank="1" showInputMessage="1" showErrorMessage="1" error="O valor inserido está fora dos limites estabelecidos pelo acórdão 2622/2013 do TCU ou é inválido." sqref="D14:D19"/>
  </dataValidations>
  <printOptions/>
  <pageMargins left="0.7" right="0.7" top="0.75" bottom="0.75" header="0.3" footer="0.3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"/>
  <sheetViews>
    <sheetView showGridLines="0" view="pageBreakPreview" zoomScale="80" zoomScaleSheetLayoutView="80" zoomScalePageLayoutView="0" workbookViewId="0" topLeftCell="A1">
      <selection activeCell="L14" sqref="L14"/>
    </sheetView>
  </sheetViews>
  <sheetFormatPr defaultColWidth="9.140625" defaultRowHeight="12.75"/>
  <cols>
    <col min="1" max="1" width="20.7109375" style="126" customWidth="1"/>
    <col min="2" max="2" width="25.7109375" style="126" customWidth="1"/>
    <col min="3" max="3" width="52.7109375" style="133" customWidth="1"/>
    <col min="4" max="4" width="25.7109375" style="134" customWidth="1"/>
    <col min="5" max="16384" width="9.140625" style="126" customWidth="1"/>
  </cols>
  <sheetData>
    <row r="1" spans="1:4" ht="15">
      <c r="A1" s="126" t="s">
        <v>518</v>
      </c>
      <c r="B1" s="127" t="str">
        <f>Orçamento!A1</f>
        <v>PREFEITURA MUNICIPAL DE FONTOURA XAVIER</v>
      </c>
      <c r="C1" s="128"/>
      <c r="D1" s="129"/>
    </row>
    <row r="2" spans="2:4" ht="15">
      <c r="B2" s="127" t="str">
        <f>Orçamento!A2</f>
        <v>Obra: Pavimentação Asfáltica da Avenida 25 de Abril</v>
      </c>
      <c r="C2" s="128"/>
      <c r="D2" s="129"/>
    </row>
    <row r="3" spans="1:4" ht="15">
      <c r="A3" s="130"/>
      <c r="C3" s="131"/>
      <c r="D3" s="132"/>
    </row>
    <row r="4" spans="2:4" ht="15">
      <c r="B4" s="794" t="s">
        <v>263</v>
      </c>
      <c r="C4" s="795"/>
      <c r="D4" s="796"/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</sheetData>
  <sheetProtection/>
  <mergeCells count="1">
    <mergeCell ref="B4:D4"/>
  </mergeCells>
  <printOptions/>
  <pageMargins left="0.3937007874015748" right="0.3937007874015748" top="1.3779527559055118" bottom="0.3937007874015748" header="0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showGridLines="0" view="pageBreakPreview" zoomScale="80" zoomScaleNormal="60" zoomScaleSheetLayoutView="80" zoomScalePageLayoutView="0" workbookViewId="0" topLeftCell="A31">
      <selection activeCell="B68" sqref="B68"/>
    </sheetView>
  </sheetViews>
  <sheetFormatPr defaultColWidth="11.421875" defaultRowHeight="12.75"/>
  <cols>
    <col min="1" max="1" width="6.421875" style="51" customWidth="1"/>
    <col min="2" max="2" width="121.7109375" style="52" bestFit="1" customWidth="1"/>
    <col min="3" max="3" width="12.7109375" style="53" bestFit="1" customWidth="1"/>
    <col min="4" max="4" width="8.28125" style="22" customWidth="1"/>
    <col min="5" max="16384" width="11.421875" style="51" customWidth="1"/>
  </cols>
  <sheetData>
    <row r="1" spans="1:4" s="33" customFormat="1" ht="20.25">
      <c r="A1" s="35" t="str">
        <f>Orçamento!A1</f>
        <v>PREFEITURA MUNICIPAL DE FONTOURA XAVIER</v>
      </c>
      <c r="B1" s="48"/>
      <c r="C1" s="49"/>
      <c r="D1" s="50"/>
    </row>
    <row r="2" spans="1:4" s="33" customFormat="1" ht="20.25">
      <c r="A2" s="35" t="str">
        <f>Orçamento!A2</f>
        <v>Obra: Pavimentação Asfáltica da Avenida 25 de Abril</v>
      </c>
      <c r="B2" s="11"/>
      <c r="C2" s="31"/>
      <c r="D2" s="32"/>
    </row>
    <row r="3" spans="2:4" s="33" customFormat="1" ht="20.25">
      <c r="B3" s="11"/>
      <c r="C3" s="12"/>
      <c r="D3" s="9"/>
    </row>
    <row r="4" spans="1:4" s="33" customFormat="1" ht="20.25">
      <c r="A4" s="496" t="s">
        <v>517</v>
      </c>
      <c r="B4" s="496"/>
      <c r="C4" s="496"/>
      <c r="D4" s="496"/>
    </row>
    <row r="5" spans="1:4" s="33" customFormat="1" ht="20.25">
      <c r="A5" s="488" t="s">
        <v>0</v>
      </c>
      <c r="B5" s="490" t="s">
        <v>1</v>
      </c>
      <c r="C5" s="492" t="s">
        <v>2</v>
      </c>
      <c r="D5" s="494" t="s">
        <v>8</v>
      </c>
    </row>
    <row r="6" spans="1:4" s="33" customFormat="1" ht="20.25">
      <c r="A6" s="489"/>
      <c r="B6" s="491"/>
      <c r="C6" s="493"/>
      <c r="D6" s="495"/>
    </row>
    <row r="7" spans="1:4" s="33" customFormat="1" ht="20.25">
      <c r="A7" s="137" t="s">
        <v>9</v>
      </c>
      <c r="B7" s="138" t="s">
        <v>411</v>
      </c>
      <c r="C7" s="139">
        <v>2.88</v>
      </c>
      <c r="D7" s="140" t="s">
        <v>4</v>
      </c>
    </row>
    <row r="8" spans="1:4" s="33" customFormat="1" ht="20.25">
      <c r="A8" s="38"/>
      <c r="B8" s="187" t="s">
        <v>428</v>
      </c>
      <c r="C8" s="40" t="s">
        <v>98</v>
      </c>
      <c r="D8" s="41" t="s">
        <v>98</v>
      </c>
    </row>
    <row r="9" spans="1:4" s="33" customFormat="1" ht="20.25">
      <c r="A9" s="137" t="s">
        <v>77</v>
      </c>
      <c r="B9" s="138" t="s">
        <v>99</v>
      </c>
      <c r="C9" s="139">
        <v>1</v>
      </c>
      <c r="D9" s="140" t="s">
        <v>20</v>
      </c>
    </row>
    <row r="10" spans="1:4" s="33" customFormat="1" ht="20.25">
      <c r="A10" s="38"/>
      <c r="B10" s="187" t="s">
        <v>311</v>
      </c>
      <c r="C10" s="40" t="s">
        <v>98</v>
      </c>
      <c r="D10" s="41" t="s">
        <v>98</v>
      </c>
    </row>
    <row r="11" spans="1:4" s="33" customFormat="1" ht="20.25">
      <c r="A11" s="137" t="s">
        <v>90</v>
      </c>
      <c r="B11" s="138" t="s">
        <v>129</v>
      </c>
      <c r="C11" s="139">
        <v>3</v>
      </c>
      <c r="D11" s="140" t="s">
        <v>513</v>
      </c>
    </row>
    <row r="12" spans="1:4" s="33" customFormat="1" ht="20.25">
      <c r="A12" s="38"/>
      <c r="B12" s="187" t="s">
        <v>314</v>
      </c>
      <c r="C12" s="40" t="s">
        <v>98</v>
      </c>
      <c r="D12" s="41" t="s">
        <v>98</v>
      </c>
    </row>
    <row r="13" spans="1:4" s="33" customFormat="1" ht="20.25">
      <c r="A13" s="137" t="s">
        <v>91</v>
      </c>
      <c r="B13" s="138" t="s">
        <v>112</v>
      </c>
      <c r="C13" s="139">
        <v>732</v>
      </c>
      <c r="D13" s="140" t="s">
        <v>4</v>
      </c>
    </row>
    <row r="14" spans="1:4" s="33" customFormat="1" ht="36">
      <c r="A14" s="38"/>
      <c r="B14" s="187" t="s">
        <v>533</v>
      </c>
      <c r="C14" s="40" t="s">
        <v>98</v>
      </c>
      <c r="D14" s="41" t="s">
        <v>98</v>
      </c>
    </row>
    <row r="15" spans="1:4" s="33" customFormat="1" ht="36">
      <c r="A15" s="137" t="s">
        <v>295</v>
      </c>
      <c r="B15" s="138" t="s">
        <v>399</v>
      </c>
      <c r="C15" s="139">
        <v>989.3675200000001</v>
      </c>
      <c r="D15" s="140" t="s">
        <v>3</v>
      </c>
    </row>
    <row r="16" spans="1:4" ht="18">
      <c r="A16" s="38"/>
      <c r="B16" s="187" t="s">
        <v>312</v>
      </c>
      <c r="C16" s="40" t="s">
        <v>98</v>
      </c>
      <c r="D16" s="41" t="s">
        <v>98</v>
      </c>
    </row>
    <row r="17" spans="1:4" ht="18">
      <c r="A17" s="137" t="s">
        <v>296</v>
      </c>
      <c r="B17" s="138" t="s">
        <v>542</v>
      </c>
      <c r="C17" s="139">
        <v>132.52058</v>
      </c>
      <c r="D17" s="140" t="s">
        <v>3</v>
      </c>
    </row>
    <row r="18" spans="1:4" s="20" customFormat="1" ht="18">
      <c r="A18" s="38"/>
      <c r="B18" s="187" t="s">
        <v>312</v>
      </c>
      <c r="C18" s="40" t="s">
        <v>98</v>
      </c>
      <c r="D18" s="41" t="s">
        <v>98</v>
      </c>
    </row>
    <row r="19" spans="1:4" s="20" customFormat="1" ht="18">
      <c r="A19" s="137" t="s">
        <v>297</v>
      </c>
      <c r="B19" s="138" t="s">
        <v>521</v>
      </c>
      <c r="C19" s="139">
        <v>67.50999999999999</v>
      </c>
      <c r="D19" s="140" t="s">
        <v>3</v>
      </c>
    </row>
    <row r="20" spans="1:4" s="20" customFormat="1" ht="18">
      <c r="A20" s="38"/>
      <c r="B20" s="187" t="s">
        <v>312</v>
      </c>
      <c r="C20" s="40" t="s">
        <v>98</v>
      </c>
      <c r="D20" s="41" t="s">
        <v>98</v>
      </c>
    </row>
    <row r="21" spans="1:4" s="20" customFormat="1" ht="18">
      <c r="A21" s="137" t="s">
        <v>298</v>
      </c>
      <c r="B21" s="138" t="s">
        <v>285</v>
      </c>
      <c r="C21" s="139">
        <v>1553.09</v>
      </c>
      <c r="D21" s="140" t="s">
        <v>3</v>
      </c>
    </row>
    <row r="22" spans="1:4" s="20" customFormat="1" ht="36">
      <c r="A22" s="38"/>
      <c r="B22" s="39" t="s">
        <v>525</v>
      </c>
      <c r="C22" s="40" t="s">
        <v>98</v>
      </c>
      <c r="D22" s="41" t="s">
        <v>98</v>
      </c>
    </row>
    <row r="23" spans="1:4" s="20" customFormat="1" ht="18">
      <c r="A23" s="82" t="s">
        <v>422</v>
      </c>
      <c r="B23" s="138" t="s">
        <v>271</v>
      </c>
      <c r="C23" s="139">
        <v>6212.37</v>
      </c>
      <c r="D23" s="140" t="s">
        <v>284</v>
      </c>
    </row>
    <row r="24" spans="1:4" s="20" customFormat="1" ht="54">
      <c r="A24" s="82"/>
      <c r="B24" s="83" t="s">
        <v>526</v>
      </c>
      <c r="C24" s="84"/>
      <c r="D24" s="85"/>
    </row>
    <row r="25" spans="1:4" s="20" customFormat="1" ht="36">
      <c r="A25" s="137" t="s">
        <v>300</v>
      </c>
      <c r="B25" s="138" t="s">
        <v>399</v>
      </c>
      <c r="C25" s="139">
        <v>211.5</v>
      </c>
      <c r="D25" s="140" t="s">
        <v>3</v>
      </c>
    </row>
    <row r="26" spans="1:4" s="20" customFormat="1" ht="18">
      <c r="A26" s="38"/>
      <c r="B26" s="39" t="s">
        <v>527</v>
      </c>
      <c r="C26" s="40" t="s">
        <v>98</v>
      </c>
      <c r="D26" s="41" t="s">
        <v>98</v>
      </c>
    </row>
    <row r="27" spans="1:4" s="20" customFormat="1" ht="18">
      <c r="A27" s="137" t="s">
        <v>301</v>
      </c>
      <c r="B27" s="138" t="s">
        <v>285</v>
      </c>
      <c r="C27" s="139">
        <v>274.95</v>
      </c>
      <c r="D27" s="140" t="s">
        <v>3</v>
      </c>
    </row>
    <row r="28" spans="1:4" s="20" customFormat="1" ht="18">
      <c r="A28" s="38"/>
      <c r="B28" s="39" t="s">
        <v>528</v>
      </c>
      <c r="C28" s="40" t="s">
        <v>98</v>
      </c>
      <c r="D28" s="41" t="s">
        <v>98</v>
      </c>
    </row>
    <row r="29" spans="1:4" s="20" customFormat="1" ht="18">
      <c r="A29" s="137" t="s">
        <v>302</v>
      </c>
      <c r="B29" s="138" t="s">
        <v>271</v>
      </c>
      <c r="C29" s="139">
        <v>1099.8</v>
      </c>
      <c r="D29" s="140" t="s">
        <v>284</v>
      </c>
    </row>
    <row r="30" spans="1:4" s="20" customFormat="1" ht="18">
      <c r="A30" s="38"/>
      <c r="B30" s="39" t="s">
        <v>529</v>
      </c>
      <c r="C30" s="40" t="s">
        <v>98</v>
      </c>
      <c r="D30" s="41" t="s">
        <v>98</v>
      </c>
    </row>
    <row r="31" spans="1:4" s="20" customFormat="1" ht="36">
      <c r="A31" s="137" t="s">
        <v>303</v>
      </c>
      <c r="B31" s="138" t="s">
        <v>276</v>
      </c>
      <c r="C31" s="139">
        <v>211.5</v>
      </c>
      <c r="D31" s="140" t="s">
        <v>3</v>
      </c>
    </row>
    <row r="32" spans="1:4" s="20" customFormat="1" ht="18">
      <c r="A32" s="38"/>
      <c r="B32" s="39" t="s">
        <v>527</v>
      </c>
      <c r="C32" s="40" t="s">
        <v>98</v>
      </c>
      <c r="D32" s="41" t="s">
        <v>98</v>
      </c>
    </row>
    <row r="33" spans="1:4" s="20" customFormat="1" ht="18">
      <c r="A33" s="137" t="s">
        <v>304</v>
      </c>
      <c r="B33" s="138" t="s">
        <v>274</v>
      </c>
      <c r="C33" s="139">
        <v>15968.25</v>
      </c>
      <c r="D33" s="140" t="s">
        <v>284</v>
      </c>
    </row>
    <row r="34" spans="1:4" s="20" customFormat="1" ht="36">
      <c r="A34" s="38"/>
      <c r="B34" s="39" t="s">
        <v>530</v>
      </c>
      <c r="C34" s="40" t="s">
        <v>98</v>
      </c>
      <c r="D34" s="41" t="s">
        <v>98</v>
      </c>
    </row>
    <row r="35" spans="1:4" s="20" customFormat="1" ht="18">
      <c r="A35" s="137" t="s">
        <v>307</v>
      </c>
      <c r="B35" s="138" t="s">
        <v>275</v>
      </c>
      <c r="C35" s="139">
        <v>807.02425</v>
      </c>
      <c r="D35" s="140" t="s">
        <v>3</v>
      </c>
    </row>
    <row r="36" spans="1:4" s="20" customFormat="1" ht="18">
      <c r="A36" s="38"/>
      <c r="B36" s="39" t="s">
        <v>312</v>
      </c>
      <c r="C36" s="40" t="s">
        <v>98</v>
      </c>
      <c r="D36" s="41" t="s">
        <v>98</v>
      </c>
    </row>
    <row r="37" spans="1:4" s="20" customFormat="1" ht="18">
      <c r="A37" s="137" t="s">
        <v>308</v>
      </c>
      <c r="B37" s="138" t="s">
        <v>306</v>
      </c>
      <c r="C37" s="139">
        <v>4196.53</v>
      </c>
      <c r="D37" s="140" t="s">
        <v>284</v>
      </c>
    </row>
    <row r="38" spans="1:4" s="20" customFormat="1" ht="18">
      <c r="A38" s="38"/>
      <c r="B38" s="39" t="s">
        <v>531</v>
      </c>
      <c r="C38" s="40" t="s">
        <v>98</v>
      </c>
      <c r="D38" s="41" t="s">
        <v>98</v>
      </c>
    </row>
    <row r="39" spans="1:4" s="20" customFormat="1" ht="18">
      <c r="A39" s="137" t="s">
        <v>11</v>
      </c>
      <c r="B39" s="138" t="s">
        <v>104</v>
      </c>
      <c r="C39" s="139">
        <v>2757.2</v>
      </c>
      <c r="D39" s="140" t="s">
        <v>4</v>
      </c>
    </row>
    <row r="40" spans="1:4" s="20" customFormat="1" ht="36">
      <c r="A40" s="38"/>
      <c r="B40" s="39" t="s">
        <v>534</v>
      </c>
      <c r="C40" s="40" t="s">
        <v>98</v>
      </c>
      <c r="D40" s="41" t="s">
        <v>98</v>
      </c>
    </row>
    <row r="41" spans="1:4" s="20" customFormat="1" ht="18">
      <c r="A41" s="137" t="s">
        <v>12</v>
      </c>
      <c r="B41" s="138" t="s">
        <v>277</v>
      </c>
      <c r="C41" s="139">
        <v>405.53</v>
      </c>
      <c r="D41" s="140" t="s">
        <v>3</v>
      </c>
    </row>
    <row r="42" spans="1:4" s="20" customFormat="1" ht="36">
      <c r="A42" s="38"/>
      <c r="B42" s="187" t="s">
        <v>532</v>
      </c>
      <c r="C42" s="40" t="s">
        <v>98</v>
      </c>
      <c r="D42" s="41" t="s">
        <v>98</v>
      </c>
    </row>
    <row r="43" spans="1:4" s="20" customFormat="1" ht="18">
      <c r="A43" s="137" t="s">
        <v>13</v>
      </c>
      <c r="B43" s="138" t="s">
        <v>278</v>
      </c>
      <c r="C43" s="139">
        <v>389.06</v>
      </c>
      <c r="D43" s="140" t="s">
        <v>3</v>
      </c>
    </row>
    <row r="44" spans="1:4" s="20" customFormat="1" ht="36">
      <c r="A44" s="38"/>
      <c r="B44" s="187" t="s">
        <v>535</v>
      </c>
      <c r="C44" s="40" t="s">
        <v>98</v>
      </c>
      <c r="D44" s="41" t="s">
        <v>98</v>
      </c>
    </row>
    <row r="45" spans="1:4" s="20" customFormat="1" ht="18">
      <c r="A45" s="137" t="s">
        <v>14</v>
      </c>
      <c r="B45" s="138" t="s">
        <v>272</v>
      </c>
      <c r="C45" s="139">
        <v>59991.55</v>
      </c>
      <c r="D45" s="140" t="s">
        <v>284</v>
      </c>
    </row>
    <row r="46" spans="1:4" s="20" customFormat="1" ht="18">
      <c r="A46" s="38"/>
      <c r="B46" s="187" t="s">
        <v>536</v>
      </c>
      <c r="C46" s="40" t="s">
        <v>98</v>
      </c>
      <c r="D46" s="41" t="s">
        <v>98</v>
      </c>
    </row>
    <row r="47" spans="1:4" s="20" customFormat="1" ht="18">
      <c r="A47" s="137" t="s">
        <v>15</v>
      </c>
      <c r="B47" s="138" t="s">
        <v>103</v>
      </c>
      <c r="C47" s="139">
        <v>2537.6</v>
      </c>
      <c r="D47" s="140" t="s">
        <v>4</v>
      </c>
    </row>
    <row r="48" spans="1:4" s="20" customFormat="1" ht="36">
      <c r="A48" s="38"/>
      <c r="B48" s="187" t="s">
        <v>537</v>
      </c>
      <c r="C48" s="40" t="s">
        <v>98</v>
      </c>
      <c r="D48" s="41" t="s">
        <v>98</v>
      </c>
    </row>
    <row r="49" spans="1:4" s="20" customFormat="1" ht="18">
      <c r="A49" s="137" t="s">
        <v>16</v>
      </c>
      <c r="B49" s="138" t="s">
        <v>111</v>
      </c>
      <c r="C49" s="139">
        <v>2440</v>
      </c>
      <c r="D49" s="140" t="s">
        <v>4</v>
      </c>
    </row>
    <row r="50" spans="1:4" s="20" customFormat="1" ht="18">
      <c r="A50" s="38"/>
      <c r="B50" s="39" t="s">
        <v>538</v>
      </c>
      <c r="C50" s="40" t="s">
        <v>98</v>
      </c>
      <c r="D50" s="41" t="s">
        <v>98</v>
      </c>
    </row>
    <row r="51" spans="1:4" s="20" customFormat="1" ht="18">
      <c r="A51" s="137" t="s">
        <v>17</v>
      </c>
      <c r="B51" s="138" t="s">
        <v>316</v>
      </c>
      <c r="C51" s="139">
        <v>2166.87</v>
      </c>
      <c r="D51" s="140" t="s">
        <v>317</v>
      </c>
    </row>
    <row r="52" spans="1:4" s="20" customFormat="1" ht="36">
      <c r="A52" s="38"/>
      <c r="B52" s="39" t="s">
        <v>539</v>
      </c>
      <c r="C52" s="40" t="s">
        <v>98</v>
      </c>
      <c r="D52" s="41" t="s">
        <v>98</v>
      </c>
    </row>
    <row r="53" spans="1:4" s="20" customFormat="1" ht="18">
      <c r="A53" s="137" t="s">
        <v>21</v>
      </c>
      <c r="B53" s="138" t="s">
        <v>262</v>
      </c>
      <c r="C53" s="139">
        <v>122</v>
      </c>
      <c r="D53" s="140" t="s">
        <v>3</v>
      </c>
    </row>
    <row r="54" spans="1:4" s="20" customFormat="1" ht="36">
      <c r="A54" s="38"/>
      <c r="B54" s="187" t="s">
        <v>540</v>
      </c>
      <c r="C54" s="40" t="s">
        <v>98</v>
      </c>
      <c r="D54" s="41" t="s">
        <v>98</v>
      </c>
    </row>
    <row r="55" spans="1:4" s="20" customFormat="1" ht="18">
      <c r="A55" s="137" t="s">
        <v>22</v>
      </c>
      <c r="B55" s="138" t="s">
        <v>315</v>
      </c>
      <c r="C55" s="139">
        <v>9211</v>
      </c>
      <c r="D55" s="140" t="s">
        <v>3</v>
      </c>
    </row>
    <row r="56" spans="1:4" s="20" customFormat="1" ht="18">
      <c r="A56" s="38"/>
      <c r="B56" s="187" t="s">
        <v>541</v>
      </c>
      <c r="C56" s="40" t="s">
        <v>98</v>
      </c>
      <c r="D56" s="41" t="s">
        <v>98</v>
      </c>
    </row>
    <row r="57" spans="1:4" s="20" customFormat="1" ht="18">
      <c r="A57" s="137" t="s">
        <v>18</v>
      </c>
      <c r="B57" s="138" t="s">
        <v>543</v>
      </c>
      <c r="C57" s="139">
        <v>344.10599999999994</v>
      </c>
      <c r="D57" s="140" t="s">
        <v>3</v>
      </c>
    </row>
    <row r="58" spans="1:4" ht="18">
      <c r="A58" s="38"/>
      <c r="B58" s="39" t="s">
        <v>429</v>
      </c>
      <c r="C58" s="40" t="s">
        <v>98</v>
      </c>
      <c r="D58" s="41" t="s">
        <v>98</v>
      </c>
    </row>
    <row r="59" spans="1:4" ht="18">
      <c r="A59" s="137" t="s">
        <v>19</v>
      </c>
      <c r="B59" s="138" t="s">
        <v>542</v>
      </c>
      <c r="C59" s="139">
        <v>172.05299999999997</v>
      </c>
      <c r="D59" s="140" t="s">
        <v>3</v>
      </c>
    </row>
    <row r="60" spans="1:4" ht="18">
      <c r="A60" s="38"/>
      <c r="B60" s="39" t="s">
        <v>429</v>
      </c>
      <c r="C60" s="40" t="s">
        <v>98</v>
      </c>
      <c r="D60" s="41" t="s">
        <v>98</v>
      </c>
    </row>
    <row r="61" spans="1:4" ht="18">
      <c r="A61" s="137" t="s">
        <v>31</v>
      </c>
      <c r="B61" s="138" t="s">
        <v>524</v>
      </c>
      <c r="C61" s="139">
        <v>57.35099999999999</v>
      </c>
      <c r="D61" s="140" t="s">
        <v>3</v>
      </c>
    </row>
    <row r="62" spans="1:4" ht="18">
      <c r="A62" s="38"/>
      <c r="B62" s="39" t="s">
        <v>429</v>
      </c>
      <c r="C62" s="40" t="s">
        <v>98</v>
      </c>
      <c r="D62" s="41" t="s">
        <v>98</v>
      </c>
    </row>
    <row r="63" spans="1:4" ht="18">
      <c r="A63" s="137" t="s">
        <v>32</v>
      </c>
      <c r="B63" s="138" t="s">
        <v>271</v>
      </c>
      <c r="C63" s="139">
        <v>972.16</v>
      </c>
      <c r="D63" s="140" t="s">
        <v>284</v>
      </c>
    </row>
    <row r="64" spans="1:4" ht="18">
      <c r="A64" s="38"/>
      <c r="B64" s="39" t="s">
        <v>429</v>
      </c>
      <c r="C64" s="40" t="s">
        <v>98</v>
      </c>
      <c r="D64" s="41" t="s">
        <v>98</v>
      </c>
    </row>
    <row r="65" spans="1:4" ht="18">
      <c r="A65" s="137" t="s">
        <v>33</v>
      </c>
      <c r="B65" s="138" t="s">
        <v>285</v>
      </c>
      <c r="C65" s="139">
        <v>243.04</v>
      </c>
      <c r="D65" s="140" t="s">
        <v>3</v>
      </c>
    </row>
    <row r="66" spans="1:4" ht="18">
      <c r="A66" s="38"/>
      <c r="B66" s="39" t="s">
        <v>429</v>
      </c>
      <c r="C66" s="40" t="s">
        <v>98</v>
      </c>
      <c r="D66" s="41" t="s">
        <v>98</v>
      </c>
    </row>
    <row r="67" spans="1:4" s="22" customFormat="1" ht="18">
      <c r="A67" s="137" t="s">
        <v>34</v>
      </c>
      <c r="B67" s="138" t="s">
        <v>66</v>
      </c>
      <c r="C67" s="139">
        <v>393.47999999999996</v>
      </c>
      <c r="D67" s="140" t="s">
        <v>3</v>
      </c>
    </row>
    <row r="68" spans="1:4" s="22" customFormat="1" ht="18">
      <c r="A68" s="38"/>
      <c r="B68" s="39" t="s">
        <v>429</v>
      </c>
      <c r="C68" s="40" t="s">
        <v>98</v>
      </c>
      <c r="D68" s="41" t="s">
        <v>98</v>
      </c>
    </row>
    <row r="69" spans="1:4" s="22" customFormat="1" ht="18">
      <c r="A69" s="137" t="s">
        <v>35</v>
      </c>
      <c r="B69" s="138" t="s">
        <v>508</v>
      </c>
      <c r="C69" s="139">
        <v>27.88</v>
      </c>
      <c r="D69" s="140" t="s">
        <v>3</v>
      </c>
    </row>
    <row r="70" spans="1:4" s="22" customFormat="1" ht="18">
      <c r="A70" s="38"/>
      <c r="B70" s="39" t="s">
        <v>429</v>
      </c>
      <c r="C70" s="40" t="s">
        <v>98</v>
      </c>
      <c r="D70" s="41" t="s">
        <v>98</v>
      </c>
    </row>
    <row r="71" spans="1:4" s="22" customFormat="1" ht="18">
      <c r="A71" s="137" t="s">
        <v>36</v>
      </c>
      <c r="B71" s="138" t="s">
        <v>509</v>
      </c>
      <c r="C71" s="139">
        <v>2104.94</v>
      </c>
      <c r="D71" s="140" t="s">
        <v>3</v>
      </c>
    </row>
    <row r="72" spans="1:4" s="22" customFormat="1" ht="18">
      <c r="A72" s="38"/>
      <c r="B72" s="39" t="s">
        <v>429</v>
      </c>
      <c r="C72" s="40" t="s">
        <v>98</v>
      </c>
      <c r="D72" s="41" t="s">
        <v>98</v>
      </c>
    </row>
    <row r="73" spans="1:4" ht="18">
      <c r="A73" s="137" t="s">
        <v>37</v>
      </c>
      <c r="B73" s="138" t="s">
        <v>67</v>
      </c>
      <c r="C73" s="139">
        <v>62</v>
      </c>
      <c r="D73" s="140" t="s">
        <v>6</v>
      </c>
    </row>
    <row r="74" spans="1:4" ht="18">
      <c r="A74" s="38"/>
      <c r="B74" s="39" t="s">
        <v>429</v>
      </c>
      <c r="C74" s="40" t="s">
        <v>98</v>
      </c>
      <c r="D74" s="41" t="s">
        <v>98</v>
      </c>
    </row>
    <row r="75" spans="1:4" ht="18">
      <c r="A75" s="137" t="s">
        <v>38</v>
      </c>
      <c r="B75" s="138" t="s">
        <v>69</v>
      </c>
      <c r="C75" s="139">
        <v>62</v>
      </c>
      <c r="D75" s="140" t="s">
        <v>6</v>
      </c>
    </row>
    <row r="76" spans="1:4" ht="18">
      <c r="A76" s="82"/>
      <c r="B76" s="83" t="s">
        <v>429</v>
      </c>
      <c r="C76" s="84"/>
      <c r="D76" s="85"/>
    </row>
    <row r="77" spans="1:4" s="22" customFormat="1" ht="18">
      <c r="A77" s="137" t="s">
        <v>81</v>
      </c>
      <c r="B77" s="138" t="s">
        <v>515</v>
      </c>
      <c r="C77" s="139">
        <v>127</v>
      </c>
      <c r="D77" s="140" t="s">
        <v>6</v>
      </c>
    </row>
    <row r="78" spans="1:4" s="22" customFormat="1" ht="18">
      <c r="A78" s="38"/>
      <c r="B78" s="39" t="s">
        <v>429</v>
      </c>
      <c r="C78" s="40" t="s">
        <v>98</v>
      </c>
      <c r="D78" s="41" t="s">
        <v>98</v>
      </c>
    </row>
    <row r="79" spans="1:4" ht="18">
      <c r="A79" s="137" t="s">
        <v>82</v>
      </c>
      <c r="B79" s="138" t="s">
        <v>68</v>
      </c>
      <c r="C79" s="139">
        <v>348</v>
      </c>
      <c r="D79" s="140" t="s">
        <v>6</v>
      </c>
    </row>
    <row r="80" spans="1:4" ht="18">
      <c r="A80" s="38"/>
      <c r="B80" s="39" t="s">
        <v>429</v>
      </c>
      <c r="C80" s="40" t="s">
        <v>98</v>
      </c>
      <c r="D80" s="41" t="s">
        <v>98</v>
      </c>
    </row>
    <row r="81" spans="1:4" ht="18">
      <c r="A81" s="137" t="s">
        <v>83</v>
      </c>
      <c r="B81" s="138" t="s">
        <v>70</v>
      </c>
      <c r="C81" s="139">
        <v>348</v>
      </c>
      <c r="D81" s="140" t="s">
        <v>6</v>
      </c>
    </row>
    <row r="82" spans="1:4" ht="18">
      <c r="A82" s="82"/>
      <c r="B82" s="83" t="s">
        <v>429</v>
      </c>
      <c r="C82" s="84"/>
      <c r="D82" s="85"/>
    </row>
    <row r="83" spans="1:4" ht="18">
      <c r="A83" s="137" t="s">
        <v>500</v>
      </c>
      <c r="B83" s="138" t="s">
        <v>71</v>
      </c>
      <c r="C83" s="139">
        <v>2</v>
      </c>
      <c r="D83" s="140" t="s">
        <v>20</v>
      </c>
    </row>
    <row r="84" spans="1:4" ht="18">
      <c r="A84" s="82"/>
      <c r="B84" s="39" t="s">
        <v>429</v>
      </c>
      <c r="C84" s="84"/>
      <c r="D84" s="85"/>
    </row>
    <row r="85" spans="1:4" ht="18">
      <c r="A85" s="137" t="s">
        <v>501</v>
      </c>
      <c r="B85" s="138" t="s">
        <v>503</v>
      </c>
      <c r="C85" s="139">
        <v>15</v>
      </c>
      <c r="D85" s="140" t="s">
        <v>20</v>
      </c>
    </row>
    <row r="86" spans="1:4" ht="18">
      <c r="A86" s="38"/>
      <c r="B86" s="39" t="s">
        <v>429</v>
      </c>
      <c r="C86" s="40" t="s">
        <v>98</v>
      </c>
      <c r="D86" s="41" t="s">
        <v>98</v>
      </c>
    </row>
    <row r="87" spans="1:4" s="22" customFormat="1" ht="18">
      <c r="A87" s="137" t="s">
        <v>26</v>
      </c>
      <c r="B87" s="138" t="s">
        <v>273</v>
      </c>
      <c r="C87" s="139">
        <v>28.2</v>
      </c>
      <c r="D87" s="140" t="s">
        <v>4</v>
      </c>
    </row>
    <row r="88" spans="1:4" s="22" customFormat="1" ht="18">
      <c r="A88" s="38"/>
      <c r="B88" s="187" t="s">
        <v>544</v>
      </c>
      <c r="C88" s="40" t="s">
        <v>98</v>
      </c>
      <c r="D88" s="41" t="s">
        <v>98</v>
      </c>
    </row>
    <row r="89" spans="1:4" s="22" customFormat="1" ht="18">
      <c r="A89" s="137" t="s">
        <v>27</v>
      </c>
      <c r="B89" s="138" t="s">
        <v>287</v>
      </c>
      <c r="C89" s="139">
        <v>54</v>
      </c>
      <c r="D89" s="140" t="s">
        <v>4</v>
      </c>
    </row>
    <row r="90" spans="1:4" s="22" customFormat="1" ht="36">
      <c r="A90" s="38"/>
      <c r="B90" s="187" t="s">
        <v>545</v>
      </c>
      <c r="C90" s="40" t="s">
        <v>98</v>
      </c>
      <c r="D90" s="41" t="s">
        <v>98</v>
      </c>
    </row>
    <row r="91" spans="1:4" s="22" customFormat="1" ht="18">
      <c r="A91" s="137" t="s">
        <v>550</v>
      </c>
      <c r="B91" s="138" t="s">
        <v>288</v>
      </c>
      <c r="C91" s="139">
        <v>1</v>
      </c>
      <c r="D91" s="140" t="s">
        <v>20</v>
      </c>
    </row>
    <row r="92" spans="1:4" s="22" customFormat="1" ht="18">
      <c r="A92" s="38"/>
      <c r="B92" s="39" t="s">
        <v>313</v>
      </c>
      <c r="C92" s="40" t="s">
        <v>98</v>
      </c>
      <c r="D92" s="41" t="s">
        <v>98</v>
      </c>
    </row>
    <row r="93" spans="1:4" s="22" customFormat="1" ht="18">
      <c r="A93" s="137" t="s">
        <v>551</v>
      </c>
      <c r="B93" s="138" t="s">
        <v>289</v>
      </c>
      <c r="C93" s="139">
        <v>1</v>
      </c>
      <c r="D93" s="140" t="s">
        <v>20</v>
      </c>
    </row>
    <row r="94" spans="1:4" s="22" customFormat="1" ht="18">
      <c r="A94" s="38"/>
      <c r="B94" s="39" t="s">
        <v>313</v>
      </c>
      <c r="C94" s="40" t="s">
        <v>98</v>
      </c>
      <c r="D94" s="41" t="s">
        <v>98</v>
      </c>
    </row>
    <row r="95" spans="1:4" s="22" customFormat="1" ht="18">
      <c r="A95" s="137" t="s">
        <v>552</v>
      </c>
      <c r="B95" s="138" t="s">
        <v>293</v>
      </c>
      <c r="C95" s="139">
        <v>4</v>
      </c>
      <c r="D95" s="140" t="s">
        <v>20</v>
      </c>
    </row>
    <row r="96" spans="1:4" ht="18">
      <c r="A96" s="38"/>
      <c r="B96" s="39" t="s">
        <v>313</v>
      </c>
      <c r="C96" s="40" t="s">
        <v>98</v>
      </c>
      <c r="D96" s="41" t="s">
        <v>98</v>
      </c>
    </row>
    <row r="97" spans="1:4" ht="18">
      <c r="A97" s="137" t="s">
        <v>553</v>
      </c>
      <c r="B97" s="138" t="s">
        <v>292</v>
      </c>
      <c r="C97" s="139">
        <v>4</v>
      </c>
      <c r="D97" s="140" t="s">
        <v>20</v>
      </c>
    </row>
    <row r="98" spans="1:4" ht="18">
      <c r="A98" s="38"/>
      <c r="B98" s="39" t="s">
        <v>313</v>
      </c>
      <c r="C98" s="40" t="s">
        <v>98</v>
      </c>
      <c r="D98" s="41" t="s">
        <v>98</v>
      </c>
    </row>
    <row r="99" spans="1:4" ht="18">
      <c r="A99" s="137" t="s">
        <v>554</v>
      </c>
      <c r="B99" s="138" t="s">
        <v>290</v>
      </c>
      <c r="C99" s="139">
        <v>3</v>
      </c>
      <c r="D99" s="140" t="s">
        <v>20</v>
      </c>
    </row>
    <row r="100" spans="1:4" ht="18">
      <c r="A100" s="38"/>
      <c r="B100" s="39" t="s">
        <v>313</v>
      </c>
      <c r="C100" s="40" t="s">
        <v>98</v>
      </c>
      <c r="D100" s="41" t="s">
        <v>98</v>
      </c>
    </row>
    <row r="101" spans="1:4" ht="18">
      <c r="A101" s="137" t="s">
        <v>555</v>
      </c>
      <c r="B101" s="138" t="s">
        <v>291</v>
      </c>
      <c r="C101" s="139">
        <v>3</v>
      </c>
      <c r="D101" s="140" t="s">
        <v>20</v>
      </c>
    </row>
    <row r="102" spans="1:4" ht="18">
      <c r="A102" s="38"/>
      <c r="B102" s="39" t="s">
        <v>313</v>
      </c>
      <c r="C102" s="40" t="s">
        <v>98</v>
      </c>
      <c r="D102" s="41" t="s">
        <v>98</v>
      </c>
    </row>
  </sheetData>
  <sheetProtection/>
  <mergeCells count="5">
    <mergeCell ref="A5:A6"/>
    <mergeCell ref="B5:B6"/>
    <mergeCell ref="C5:C6"/>
    <mergeCell ref="D5:D6"/>
    <mergeCell ref="A4:D4"/>
  </mergeCells>
  <printOptions/>
  <pageMargins left="0.3937007874015748" right="0.3937007874015748" top="0.3937007874015748" bottom="0.3937007874015748" header="0" footer="0"/>
  <pageSetup horizontalDpi="300" verticalDpi="300" orientation="portrait" paperSize="9" scale="52" r:id="rId1"/>
  <rowBreaks count="1" manualBreakCount="1">
    <brk id="6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G27"/>
  <sheetViews>
    <sheetView showGridLines="0" view="pageBreakPreview" zoomScaleNormal="75" zoomScaleSheetLayoutView="100" workbookViewId="0" topLeftCell="A7">
      <selection activeCell="E17" sqref="E17"/>
    </sheetView>
  </sheetViews>
  <sheetFormatPr defaultColWidth="8.00390625" defaultRowHeight="18.75" customHeight="1"/>
  <cols>
    <col min="1" max="1" width="6.00390625" style="78" customWidth="1"/>
    <col min="2" max="2" width="34.8515625" style="23" bestFit="1" customWidth="1"/>
    <col min="3" max="3" width="15.7109375" style="79" customWidth="1"/>
    <col min="4" max="4" width="15.7109375" style="80" customWidth="1"/>
    <col min="5" max="7" width="15.7109375" style="81" customWidth="1"/>
    <col min="8" max="16384" width="8.00390625" style="78" customWidth="1"/>
  </cols>
  <sheetData>
    <row r="1" spans="1:7" s="293" customFormat="1" ht="18.75" customHeight="1">
      <c r="A1" s="292" t="str">
        <f>Orçamento!A1</f>
        <v>PREFEITURA MUNICIPAL DE FONTOURA XAVIER</v>
      </c>
      <c r="B1" s="292"/>
      <c r="C1" s="292"/>
      <c r="E1" s="291"/>
      <c r="F1" s="291"/>
      <c r="G1" s="291"/>
    </row>
    <row r="2" spans="1:7" s="293" customFormat="1" ht="18.75" customHeight="1">
      <c r="A2" s="263" t="str">
        <f>Orçamento!A2</f>
        <v>Obra: Pavimentação Asfáltica da Avenida 25 de Abril</v>
      </c>
      <c r="B2" s="263"/>
      <c r="C2" s="263"/>
      <c r="D2" s="291"/>
      <c r="E2" s="291"/>
      <c r="F2" s="291"/>
      <c r="G2" s="291"/>
    </row>
    <row r="3" spans="2:7" s="293" customFormat="1" ht="18.75" customHeight="1">
      <c r="B3" s="264"/>
      <c r="C3" s="264"/>
      <c r="D3" s="291"/>
      <c r="E3" s="291"/>
      <c r="F3" s="291"/>
      <c r="G3" s="291"/>
    </row>
    <row r="4" spans="1:7" s="293" customFormat="1" ht="18.75" customHeight="1">
      <c r="A4" s="505" t="s">
        <v>43</v>
      </c>
      <c r="B4" s="505"/>
      <c r="C4" s="505"/>
      <c r="D4" s="505"/>
      <c r="E4" s="505"/>
      <c r="F4" s="505"/>
      <c r="G4" s="505"/>
    </row>
    <row r="5" spans="1:7" s="23" customFormat="1" ht="18.75" customHeight="1">
      <c r="A5" s="507" t="s">
        <v>44</v>
      </c>
      <c r="B5" s="507" t="s">
        <v>45</v>
      </c>
      <c r="C5" s="507" t="s">
        <v>46</v>
      </c>
      <c r="D5" s="506" t="s">
        <v>47</v>
      </c>
      <c r="E5" s="506"/>
      <c r="F5" s="506"/>
      <c r="G5" s="54" t="s">
        <v>48</v>
      </c>
    </row>
    <row r="6" spans="1:7" s="23" customFormat="1" ht="18.75" customHeight="1">
      <c r="A6" s="507"/>
      <c r="B6" s="507"/>
      <c r="C6" s="507"/>
      <c r="D6" s="55" t="s">
        <v>49</v>
      </c>
      <c r="E6" s="55" t="s">
        <v>50</v>
      </c>
      <c r="F6" s="55" t="s">
        <v>432</v>
      </c>
      <c r="G6" s="56" t="s">
        <v>41</v>
      </c>
    </row>
    <row r="7" spans="1:7" s="67" customFormat="1" ht="18.75" customHeight="1">
      <c r="A7" s="503">
        <v>1</v>
      </c>
      <c r="B7" s="504" t="str">
        <f>Orçamento!B11</f>
        <v>SERVIÇOS PRELIMINARES</v>
      </c>
      <c r="C7" s="58"/>
      <c r="D7" s="65"/>
      <c r="E7" s="65"/>
      <c r="F7" s="65"/>
      <c r="G7" s="66"/>
    </row>
    <row r="8" spans="1:7" s="67" customFormat="1" ht="18.75" customHeight="1">
      <c r="A8" s="503"/>
      <c r="B8" s="503"/>
      <c r="C8" s="68">
        <f>Orçamento!O16</f>
        <v>35451.18</v>
      </c>
      <c r="D8" s="65">
        <f>D9*$C8</f>
        <v>17973.74826</v>
      </c>
      <c r="E8" s="65">
        <f>E9*$C8</f>
        <v>8738.71587</v>
      </c>
      <c r="F8" s="65">
        <f>F9*$C8</f>
        <v>8738.71587</v>
      </c>
      <c r="G8" s="66">
        <f>SUM(D8:F8)</f>
        <v>35451.18</v>
      </c>
    </row>
    <row r="9" spans="1:7" s="72" customFormat="1" ht="18.75" customHeight="1">
      <c r="A9" s="503"/>
      <c r="B9" s="503"/>
      <c r="C9" s="69" t="s">
        <v>42</v>
      </c>
      <c r="D9" s="70">
        <v>0.507</v>
      </c>
      <c r="E9" s="70">
        <v>0.2465</v>
      </c>
      <c r="F9" s="70">
        <f>1-D9-E9</f>
        <v>0.2465</v>
      </c>
      <c r="G9" s="71">
        <f>SUM(D9:F9)</f>
        <v>1</v>
      </c>
    </row>
    <row r="10" spans="1:7" s="67" customFormat="1" ht="18.75" customHeight="1">
      <c r="A10" s="503">
        <v>2</v>
      </c>
      <c r="B10" s="504" t="str">
        <f>Orçamento!B17</f>
        <v>MOVIMENTAÇÃO DE TERRA</v>
      </c>
      <c r="C10" s="73"/>
      <c r="D10" s="65"/>
      <c r="E10" s="65"/>
      <c r="F10" s="65"/>
      <c r="G10" s="74"/>
    </row>
    <row r="11" spans="1:7" s="67" customFormat="1" ht="18.75" customHeight="1">
      <c r="A11" s="503"/>
      <c r="B11" s="503"/>
      <c r="C11" s="68">
        <f>Orçamento!O33</f>
        <v>84054.18999999999</v>
      </c>
      <c r="D11" s="65">
        <f>D12*$C11</f>
        <v>50306.432714999995</v>
      </c>
      <c r="E11" s="65">
        <f>E12*$C11</f>
        <v>33747.75728499999</v>
      </c>
      <c r="F11" s="65"/>
      <c r="G11" s="66">
        <f>SUM(D11:F11)</f>
        <v>84054.18999999999</v>
      </c>
    </row>
    <row r="12" spans="1:7" s="67" customFormat="1" ht="18.75" customHeight="1">
      <c r="A12" s="503"/>
      <c r="B12" s="503"/>
      <c r="C12" s="58" t="s">
        <v>42</v>
      </c>
      <c r="D12" s="70">
        <v>0.5985</v>
      </c>
      <c r="E12" s="70">
        <f>1-D12</f>
        <v>0.40149999999999997</v>
      </c>
      <c r="F12" s="70"/>
      <c r="G12" s="71">
        <f>SUM(D12:F12)</f>
        <v>1</v>
      </c>
    </row>
    <row r="13" spans="1:7" s="67" customFormat="1" ht="18.75" customHeight="1">
      <c r="A13" s="503">
        <v>3</v>
      </c>
      <c r="B13" s="504" t="str">
        <f>Orçamento!B34</f>
        <v>PAVIMENTAÇÃO</v>
      </c>
      <c r="C13" s="58"/>
      <c r="D13" s="65"/>
      <c r="E13" s="65"/>
      <c r="F13" s="65"/>
      <c r="G13" s="65"/>
    </row>
    <row r="14" spans="1:7" s="67" customFormat="1" ht="18.75" customHeight="1">
      <c r="A14" s="503"/>
      <c r="B14" s="503"/>
      <c r="C14" s="68">
        <f>Orçamento!O44</f>
        <v>440040.08999999997</v>
      </c>
      <c r="D14" s="65"/>
      <c r="E14" s="65">
        <f>E15*$C14</f>
        <v>210031.13495699997</v>
      </c>
      <c r="F14" s="65">
        <f>F15*$C14</f>
        <v>230008.95504299997</v>
      </c>
      <c r="G14" s="66">
        <f>SUM(D14:F14)</f>
        <v>440040.08999999997</v>
      </c>
    </row>
    <row r="15" spans="1:7" s="67" customFormat="1" ht="18.75" customHeight="1">
      <c r="A15" s="503"/>
      <c r="B15" s="503"/>
      <c r="C15" s="58" t="s">
        <v>42</v>
      </c>
      <c r="D15" s="70"/>
      <c r="E15" s="70">
        <v>0.4773</v>
      </c>
      <c r="F15" s="70">
        <f>1-E15</f>
        <v>0.5226999999999999</v>
      </c>
      <c r="G15" s="71">
        <f>SUM(D15:F15)</f>
        <v>1</v>
      </c>
    </row>
    <row r="16" spans="1:7" s="67" customFormat="1" ht="18.75" customHeight="1">
      <c r="A16" s="503">
        <v>4</v>
      </c>
      <c r="B16" s="504" t="str">
        <f>Orçamento!B45</f>
        <v>DRENAGEM DE ÁGUAS PLUVIAIS</v>
      </c>
      <c r="C16" s="58"/>
      <c r="D16" s="65"/>
      <c r="E16" s="65"/>
      <c r="F16" s="65"/>
      <c r="G16" s="75"/>
    </row>
    <row r="17" spans="1:7" s="67" customFormat="1" ht="18.75" customHeight="1">
      <c r="A17" s="503"/>
      <c r="B17" s="503"/>
      <c r="C17" s="68">
        <f>Orçamento!O67</f>
        <v>150659.43</v>
      </c>
      <c r="D17" s="65">
        <f>D18*$C17</f>
        <v>122892.89705099999</v>
      </c>
      <c r="E17" s="65">
        <f>E18*$C17</f>
        <v>27766.532949</v>
      </c>
      <c r="F17" s="65"/>
      <c r="G17" s="66">
        <f>SUM(D17:F17)</f>
        <v>150659.43</v>
      </c>
    </row>
    <row r="18" spans="1:7" s="67" customFormat="1" ht="18.75" customHeight="1">
      <c r="A18" s="503"/>
      <c r="B18" s="503"/>
      <c r="C18" s="58" t="s">
        <v>42</v>
      </c>
      <c r="D18" s="70">
        <v>0.8157</v>
      </c>
      <c r="E18" s="70">
        <f>1-D18</f>
        <v>0.18430000000000002</v>
      </c>
      <c r="F18" s="70"/>
      <c r="G18" s="71">
        <f>SUM(D18:F18)</f>
        <v>1</v>
      </c>
    </row>
    <row r="19" spans="1:7" s="67" customFormat="1" ht="18.75" customHeight="1">
      <c r="A19" s="503">
        <v>5</v>
      </c>
      <c r="B19" s="504" t="str">
        <f>Orçamento!B68</f>
        <v>SINALIZAÇÃO VIÁRIA</v>
      </c>
      <c r="C19" s="58"/>
      <c r="D19" s="65"/>
      <c r="E19" s="65"/>
      <c r="F19" s="65"/>
      <c r="G19" s="75"/>
    </row>
    <row r="20" spans="1:7" s="67" customFormat="1" ht="18.75" customHeight="1">
      <c r="A20" s="503"/>
      <c r="B20" s="503"/>
      <c r="C20" s="68">
        <f>Orçamento!O77</f>
        <v>7441.35</v>
      </c>
      <c r="D20" s="65">
        <f>D21*$C20</f>
        <v>0</v>
      </c>
      <c r="E20" s="65">
        <f>E21*$C20</f>
        <v>0</v>
      </c>
      <c r="F20" s="65">
        <f>F21*$C20</f>
        <v>7441.35</v>
      </c>
      <c r="G20" s="66">
        <f>SUM(D20:F20)</f>
        <v>7441.35</v>
      </c>
    </row>
    <row r="21" spans="1:7" s="67" customFormat="1" ht="18.75" customHeight="1">
      <c r="A21" s="503"/>
      <c r="B21" s="503"/>
      <c r="C21" s="58" t="s">
        <v>42</v>
      </c>
      <c r="D21" s="70">
        <v>0</v>
      </c>
      <c r="E21" s="70">
        <v>0</v>
      </c>
      <c r="F21" s="70">
        <v>1</v>
      </c>
      <c r="G21" s="71">
        <f>SUM(D21:F21)</f>
        <v>1</v>
      </c>
    </row>
    <row r="22" spans="1:7" s="67" customFormat="1" ht="18.75" customHeight="1">
      <c r="A22" s="58"/>
      <c r="B22" s="57"/>
      <c r="C22" s="58"/>
      <c r="D22" s="70"/>
      <c r="E22" s="70"/>
      <c r="F22" s="70"/>
      <c r="G22" s="71"/>
    </row>
    <row r="23" spans="1:7" s="67" customFormat="1" ht="18.75" customHeight="1">
      <c r="A23" s="501" t="s">
        <v>41</v>
      </c>
      <c r="B23" s="502"/>
      <c r="C23" s="68">
        <f>C20+C17+C14+C11+C8</f>
        <v>717646.24</v>
      </c>
      <c r="D23" s="66"/>
      <c r="E23" s="66"/>
      <c r="F23" s="66"/>
      <c r="G23" s="66"/>
    </row>
    <row r="24" spans="1:7" s="67" customFormat="1" ht="18.75" customHeight="1">
      <c r="A24" s="497" t="s">
        <v>51</v>
      </c>
      <c r="B24" s="498"/>
      <c r="C24" s="68"/>
      <c r="D24" s="66">
        <f>SUM(D20,D17,D14,D11,D8)</f>
        <v>191173.07802599997</v>
      </c>
      <c r="E24" s="66">
        <f>SUM(E20,E17,E14,E11,E8)</f>
        <v>280284.141061</v>
      </c>
      <c r="F24" s="66">
        <f>SUM(F20,F17,F14,F11,F8)</f>
        <v>246189.020913</v>
      </c>
      <c r="G24" s="66"/>
    </row>
    <row r="25" spans="1:7" s="67" customFormat="1" ht="18.75" customHeight="1">
      <c r="A25" s="499"/>
      <c r="B25" s="500"/>
      <c r="C25" s="68"/>
      <c r="D25" s="154">
        <f>D24/$C$23</f>
        <v>0.266389019227635</v>
      </c>
      <c r="E25" s="154">
        <f>E24/$C$23</f>
        <v>0.3905603143144734</v>
      </c>
      <c r="F25" s="154">
        <f>F24/$C$23</f>
        <v>0.34305066645789156</v>
      </c>
      <c r="G25" s="66"/>
    </row>
    <row r="26" spans="1:7" s="67" customFormat="1" ht="18.75" customHeight="1">
      <c r="A26" s="497" t="s">
        <v>52</v>
      </c>
      <c r="B26" s="498"/>
      <c r="C26" s="58"/>
      <c r="D26" s="66">
        <f>D24</f>
        <v>191173.07802599997</v>
      </c>
      <c r="E26" s="66">
        <f>D26+E24</f>
        <v>471457.219087</v>
      </c>
      <c r="F26" s="66">
        <f>E26+F24</f>
        <v>717646.24</v>
      </c>
      <c r="G26" s="66">
        <f>G20+G17+G14+G11+G8</f>
        <v>717646.24</v>
      </c>
    </row>
    <row r="27" spans="1:7" ht="18.75" customHeight="1">
      <c r="A27" s="499"/>
      <c r="B27" s="500"/>
      <c r="C27" s="76"/>
      <c r="D27" s="154">
        <f>D26/$C$23</f>
        <v>0.266389019227635</v>
      </c>
      <c r="E27" s="154">
        <f>E26/$C$23</f>
        <v>0.6569493335421085</v>
      </c>
      <c r="F27" s="154">
        <f>F26/$C$23</f>
        <v>1</v>
      </c>
      <c r="G27" s="77"/>
    </row>
  </sheetData>
  <sheetProtection/>
  <mergeCells count="18">
    <mergeCell ref="A4:G4"/>
    <mergeCell ref="D5:F5"/>
    <mergeCell ref="A19:A21"/>
    <mergeCell ref="B19:B21"/>
    <mergeCell ref="A7:A9"/>
    <mergeCell ref="B7:B9"/>
    <mergeCell ref="B5:B6"/>
    <mergeCell ref="C5:C6"/>
    <mergeCell ref="A5:A6"/>
    <mergeCell ref="B10:B12"/>
    <mergeCell ref="A26:B27"/>
    <mergeCell ref="A24:B25"/>
    <mergeCell ref="A23:B23"/>
    <mergeCell ref="A13:A15"/>
    <mergeCell ref="B13:B15"/>
    <mergeCell ref="A10:A12"/>
    <mergeCell ref="A16:A18"/>
    <mergeCell ref="B16:B18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:H85"/>
  <sheetViews>
    <sheetView showGridLines="0" view="pageBreakPreview" zoomScale="70" zoomScaleNormal="60" zoomScaleSheetLayoutView="70" zoomScalePageLayoutView="0" workbookViewId="0" topLeftCell="A64">
      <selection activeCell="G85" sqref="G85"/>
    </sheetView>
  </sheetViews>
  <sheetFormatPr defaultColWidth="11.421875" defaultRowHeight="12.75"/>
  <cols>
    <col min="1" max="1" width="7.8515625" style="13" customWidth="1"/>
    <col min="2" max="3" width="17.00390625" style="2" customWidth="1"/>
    <col min="4" max="4" width="63.7109375" style="16" customWidth="1"/>
    <col min="5" max="5" width="8.28125" style="47" customWidth="1"/>
    <col min="6" max="6" width="13.7109375" style="92" customWidth="1"/>
    <col min="7" max="7" width="13.7109375" style="3" customWidth="1"/>
    <col min="8" max="8" width="13.7109375" style="18" customWidth="1"/>
    <col min="9" max="16384" width="11.421875" style="13" customWidth="1"/>
  </cols>
  <sheetData>
    <row r="1" spans="1:8" s="10" customFormat="1" ht="20.25">
      <c r="A1" s="88" t="str">
        <f>Orçamento!A1</f>
        <v>PREFEITURA MUNICIPAL DE FONTOURA XAVIER</v>
      </c>
      <c r="B1" s="86"/>
      <c r="C1" s="86"/>
      <c r="D1" s="86"/>
      <c r="E1" s="9"/>
      <c r="F1" s="89"/>
      <c r="G1" s="12"/>
      <c r="H1" s="87"/>
    </row>
    <row r="2" spans="1:8" s="10" customFormat="1" ht="20.25">
      <c r="A2" s="86" t="str">
        <f>Orçamento!A2</f>
        <v>Obra: Pavimentação Asfáltica da Avenida 25 de Abril</v>
      </c>
      <c r="B2" s="86"/>
      <c r="C2" s="86"/>
      <c r="D2" s="86"/>
      <c r="E2" s="9"/>
      <c r="F2" s="89"/>
      <c r="G2" s="12"/>
      <c r="H2" s="87"/>
    </row>
    <row r="3" spans="2:8" s="10" customFormat="1" ht="20.25">
      <c r="B3" s="86"/>
      <c r="C3" s="86"/>
      <c r="D3" s="86"/>
      <c r="E3" s="9"/>
      <c r="F3" s="89"/>
      <c r="G3" s="12"/>
      <c r="H3" s="87"/>
    </row>
    <row r="4" spans="1:8" s="10" customFormat="1" ht="20.25">
      <c r="A4" s="529" t="s">
        <v>119</v>
      </c>
      <c r="B4" s="529"/>
      <c r="C4" s="529"/>
      <c r="D4" s="529"/>
      <c r="E4" s="529"/>
      <c r="F4" s="529"/>
      <c r="G4" s="529"/>
      <c r="H4" s="529"/>
    </row>
    <row r="5" spans="1:8" s="10" customFormat="1" ht="20.25">
      <c r="A5" s="157" t="s">
        <v>139</v>
      </c>
      <c r="B5" s="158"/>
      <c r="C5" s="158"/>
      <c r="D5" s="158"/>
      <c r="E5" s="159"/>
      <c r="F5" s="160"/>
      <c r="G5" s="161"/>
      <c r="H5" s="162"/>
    </row>
    <row r="6" spans="1:8" s="2" customFormat="1" ht="18">
      <c r="A6" s="515" t="s">
        <v>0</v>
      </c>
      <c r="B6" s="515" t="s">
        <v>88</v>
      </c>
      <c r="C6" s="515"/>
      <c r="D6" s="517" t="s">
        <v>89</v>
      </c>
      <c r="E6" s="509" t="s">
        <v>8</v>
      </c>
      <c r="F6" s="516" t="s">
        <v>122</v>
      </c>
      <c r="G6" s="509" t="s">
        <v>120</v>
      </c>
      <c r="H6" s="509"/>
    </row>
    <row r="7" spans="1:8" s="2" customFormat="1" ht="18">
      <c r="A7" s="515"/>
      <c r="B7" s="515"/>
      <c r="C7" s="515"/>
      <c r="D7" s="517"/>
      <c r="E7" s="509"/>
      <c r="F7" s="516"/>
      <c r="G7" s="60" t="s">
        <v>121</v>
      </c>
      <c r="H7" s="64" t="s">
        <v>23</v>
      </c>
    </row>
    <row r="8" spans="1:8" ht="36">
      <c r="A8" s="1">
        <v>1</v>
      </c>
      <c r="B8" s="1" t="s">
        <v>109</v>
      </c>
      <c r="C8" s="1" t="s">
        <v>149</v>
      </c>
      <c r="D8" s="248" t="s">
        <v>400</v>
      </c>
      <c r="E8" s="46" t="s">
        <v>65</v>
      </c>
      <c r="F8" s="90">
        <v>3</v>
      </c>
      <c r="G8" s="249">
        <v>350</v>
      </c>
      <c r="H8" s="6">
        <f>ROUND(F8*G8,2)</f>
        <v>1050</v>
      </c>
    </row>
    <row r="9" spans="1:8" ht="36">
      <c r="A9" s="1">
        <v>2</v>
      </c>
      <c r="B9" s="1" t="s">
        <v>109</v>
      </c>
      <c r="C9" s="1" t="s">
        <v>149</v>
      </c>
      <c r="D9" s="248" t="s">
        <v>401</v>
      </c>
      <c r="E9" s="46" t="s">
        <v>65</v>
      </c>
      <c r="F9" s="90">
        <v>3</v>
      </c>
      <c r="G9" s="249">
        <v>350</v>
      </c>
      <c r="H9" s="6">
        <f aca="true" t="shared" si="0" ref="H9:H17">ROUND(F9*G9,2)</f>
        <v>1050</v>
      </c>
    </row>
    <row r="10" spans="1:8" ht="36">
      <c r="A10" s="1">
        <v>3</v>
      </c>
      <c r="B10" s="1" t="s">
        <v>109</v>
      </c>
      <c r="C10" s="1" t="s">
        <v>149</v>
      </c>
      <c r="D10" s="248" t="s">
        <v>150</v>
      </c>
      <c r="E10" s="46" t="s">
        <v>65</v>
      </c>
      <c r="F10" s="90">
        <v>3</v>
      </c>
      <c r="G10" s="249">
        <v>350</v>
      </c>
      <c r="H10" s="6">
        <f t="shared" si="0"/>
        <v>1050</v>
      </c>
    </row>
    <row r="11" spans="1:8" ht="36">
      <c r="A11" s="1">
        <v>4</v>
      </c>
      <c r="B11" s="1" t="s">
        <v>109</v>
      </c>
      <c r="C11" s="1" t="s">
        <v>149</v>
      </c>
      <c r="D11" s="248" t="s">
        <v>402</v>
      </c>
      <c r="E11" s="46" t="s">
        <v>65</v>
      </c>
      <c r="F11" s="90">
        <v>3</v>
      </c>
      <c r="G11" s="249">
        <v>350</v>
      </c>
      <c r="H11" s="6">
        <f t="shared" si="0"/>
        <v>1050</v>
      </c>
    </row>
    <row r="12" spans="1:8" ht="36">
      <c r="A12" s="1">
        <v>5</v>
      </c>
      <c r="B12" s="1" t="s">
        <v>109</v>
      </c>
      <c r="C12" s="1" t="s">
        <v>149</v>
      </c>
      <c r="D12" s="248" t="s">
        <v>151</v>
      </c>
      <c r="E12" s="46" t="s">
        <v>65</v>
      </c>
      <c r="F12" s="90">
        <v>3</v>
      </c>
      <c r="G12" s="249">
        <v>350</v>
      </c>
      <c r="H12" s="6">
        <f t="shared" si="0"/>
        <v>1050</v>
      </c>
    </row>
    <row r="13" spans="1:8" ht="36">
      <c r="A13" s="1">
        <v>6</v>
      </c>
      <c r="B13" s="1" t="s">
        <v>109</v>
      </c>
      <c r="C13" s="1" t="s">
        <v>149</v>
      </c>
      <c r="D13" s="248" t="s">
        <v>152</v>
      </c>
      <c r="E13" s="46" t="s">
        <v>65</v>
      </c>
      <c r="F13" s="90">
        <v>3</v>
      </c>
      <c r="G13" s="249">
        <v>350</v>
      </c>
      <c r="H13" s="6">
        <f t="shared" si="0"/>
        <v>1050</v>
      </c>
    </row>
    <row r="14" spans="1:8" ht="18">
      <c r="A14" s="1">
        <v>8</v>
      </c>
      <c r="B14" s="1" t="s">
        <v>109</v>
      </c>
      <c r="C14" s="1" t="s">
        <v>113</v>
      </c>
      <c r="D14" s="248" t="s">
        <v>92</v>
      </c>
      <c r="E14" s="46" t="s">
        <v>65</v>
      </c>
      <c r="F14" s="90">
        <v>2.5</v>
      </c>
      <c r="G14" s="249">
        <v>180</v>
      </c>
      <c r="H14" s="6">
        <f t="shared" si="0"/>
        <v>450</v>
      </c>
    </row>
    <row r="15" spans="1:8" ht="18">
      <c r="A15" s="1">
        <v>9</v>
      </c>
      <c r="B15" s="1" t="s">
        <v>109</v>
      </c>
      <c r="C15" s="1" t="s">
        <v>114</v>
      </c>
      <c r="D15" s="248" t="s">
        <v>93</v>
      </c>
      <c r="E15" s="46" t="s">
        <v>65</v>
      </c>
      <c r="F15" s="90">
        <v>2.5</v>
      </c>
      <c r="G15" s="249">
        <v>220</v>
      </c>
      <c r="H15" s="6">
        <f t="shared" si="0"/>
        <v>550</v>
      </c>
    </row>
    <row r="16" spans="1:8" ht="18">
      <c r="A16" s="1">
        <v>10</v>
      </c>
      <c r="B16" s="1" t="s">
        <v>109</v>
      </c>
      <c r="C16" s="1" t="s">
        <v>115</v>
      </c>
      <c r="D16" s="248" t="s">
        <v>403</v>
      </c>
      <c r="E16" s="46" t="s">
        <v>65</v>
      </c>
      <c r="F16" s="90">
        <v>5</v>
      </c>
      <c r="G16" s="249">
        <v>120</v>
      </c>
      <c r="H16" s="6">
        <f t="shared" si="0"/>
        <v>600</v>
      </c>
    </row>
    <row r="17" spans="1:8" ht="18">
      <c r="A17" s="1">
        <v>11</v>
      </c>
      <c r="B17" s="1" t="s">
        <v>109</v>
      </c>
      <c r="C17" s="1" t="s">
        <v>116</v>
      </c>
      <c r="D17" s="248" t="s">
        <v>94</v>
      </c>
      <c r="E17" s="46" t="s">
        <v>65</v>
      </c>
      <c r="F17" s="90">
        <v>2.5</v>
      </c>
      <c r="G17" s="249">
        <v>93.8025</v>
      </c>
      <c r="H17" s="6">
        <f t="shared" si="0"/>
        <v>234.51</v>
      </c>
    </row>
    <row r="18" spans="1:8" s="14" customFormat="1" ht="18">
      <c r="A18" s="111" t="s">
        <v>95</v>
      </c>
      <c r="B18" s="112"/>
      <c r="C18" s="112"/>
      <c r="D18" s="112"/>
      <c r="E18" s="113"/>
      <c r="F18" s="114"/>
      <c r="G18" s="112"/>
      <c r="H18" s="115">
        <f>SUM(H8:H17)</f>
        <v>8134.51</v>
      </c>
    </row>
    <row r="19" spans="1:8" s="14" customFormat="1" ht="45.75" customHeight="1">
      <c r="A19" s="530" t="s">
        <v>153</v>
      </c>
      <c r="B19" s="531"/>
      <c r="C19" s="531"/>
      <c r="D19" s="531"/>
      <c r="E19" s="531"/>
      <c r="F19" s="531"/>
      <c r="G19" s="531"/>
      <c r="H19" s="532"/>
    </row>
    <row r="20" spans="1:8" s="14" customFormat="1" ht="57.75" customHeight="1">
      <c r="A20" s="533" t="s">
        <v>154</v>
      </c>
      <c r="B20" s="534"/>
      <c r="C20" s="534"/>
      <c r="D20" s="534"/>
      <c r="E20" s="534"/>
      <c r="F20" s="534"/>
      <c r="G20" s="534"/>
      <c r="H20" s="535"/>
    </row>
    <row r="21" spans="1:8" s="14" customFormat="1" ht="18">
      <c r="A21" s="536" t="s">
        <v>510</v>
      </c>
      <c r="B21" s="537"/>
      <c r="C21" s="537"/>
      <c r="D21" s="537"/>
      <c r="E21" s="537"/>
      <c r="F21" s="537"/>
      <c r="G21" s="537"/>
      <c r="H21" s="538"/>
    </row>
    <row r="23" spans="1:8" s="10" customFormat="1" ht="20.25">
      <c r="A23" s="157" t="s">
        <v>140</v>
      </c>
      <c r="B23" s="158"/>
      <c r="C23" s="158"/>
      <c r="D23" s="158"/>
      <c r="E23" s="159"/>
      <c r="F23" s="160"/>
      <c r="G23" s="161"/>
      <c r="H23" s="162"/>
    </row>
    <row r="24" spans="1:8" s="2" customFormat="1" ht="18">
      <c r="A24" s="515" t="s">
        <v>0</v>
      </c>
      <c r="B24" s="515" t="s">
        <v>88</v>
      </c>
      <c r="C24" s="515"/>
      <c r="D24" s="517" t="s">
        <v>89</v>
      </c>
      <c r="E24" s="509" t="s">
        <v>8</v>
      </c>
      <c r="F24" s="516" t="s">
        <v>122</v>
      </c>
      <c r="G24" s="509" t="s">
        <v>120</v>
      </c>
      <c r="H24" s="509"/>
    </row>
    <row r="25" spans="1:8" s="2" customFormat="1" ht="18">
      <c r="A25" s="515"/>
      <c r="B25" s="515"/>
      <c r="C25" s="515"/>
      <c r="D25" s="517"/>
      <c r="E25" s="509"/>
      <c r="F25" s="516"/>
      <c r="G25" s="60" t="s">
        <v>121</v>
      </c>
      <c r="H25" s="64" t="s">
        <v>23</v>
      </c>
    </row>
    <row r="26" spans="1:8" ht="18">
      <c r="A26" s="1"/>
      <c r="B26" s="1"/>
      <c r="C26" s="1"/>
      <c r="D26" s="93" t="s">
        <v>130</v>
      </c>
      <c r="E26" s="46"/>
      <c r="F26" s="90"/>
      <c r="G26" s="6"/>
      <c r="H26" s="6"/>
    </row>
    <row r="27" spans="1:8" ht="18">
      <c r="A27" s="1">
        <v>1</v>
      </c>
      <c r="B27" s="1" t="s">
        <v>105</v>
      </c>
      <c r="C27" s="1">
        <v>2707</v>
      </c>
      <c r="D27" s="5" t="s">
        <v>279</v>
      </c>
      <c r="E27" s="46" t="s">
        <v>65</v>
      </c>
      <c r="F27" s="90">
        <v>20</v>
      </c>
      <c r="G27" s="255">
        <v>102</v>
      </c>
      <c r="H27" s="6">
        <f>ROUND(F27*G27,2)</f>
        <v>2040</v>
      </c>
    </row>
    <row r="28" spans="1:8" ht="18">
      <c r="A28" s="1">
        <v>2</v>
      </c>
      <c r="B28" s="1" t="s">
        <v>105</v>
      </c>
      <c r="C28" s="1">
        <v>4083</v>
      </c>
      <c r="D28" s="5" t="s">
        <v>427</v>
      </c>
      <c r="E28" s="46" t="s">
        <v>65</v>
      </c>
      <c r="F28" s="90">
        <v>80</v>
      </c>
      <c r="G28" s="255">
        <v>40</v>
      </c>
      <c r="H28" s="6">
        <f aca="true" t="shared" si="1" ref="H28:H35">ROUND(F28*G28,2)</f>
        <v>3200</v>
      </c>
    </row>
    <row r="29" spans="1:8" ht="18">
      <c r="A29" s="1">
        <v>3</v>
      </c>
      <c r="B29" s="1" t="s">
        <v>105</v>
      </c>
      <c r="C29" s="1">
        <v>40943</v>
      </c>
      <c r="D29" s="5" t="s">
        <v>426</v>
      </c>
      <c r="E29" s="46" t="s">
        <v>65</v>
      </c>
      <c r="F29" s="90">
        <v>20</v>
      </c>
      <c r="G29" s="255">
        <v>30</v>
      </c>
      <c r="H29" s="6">
        <f t="shared" si="1"/>
        <v>600</v>
      </c>
    </row>
    <row r="30" spans="1:8" ht="18">
      <c r="A30" s="250">
        <v>4</v>
      </c>
      <c r="B30" s="251" t="s">
        <v>105</v>
      </c>
      <c r="C30" s="251">
        <v>90781</v>
      </c>
      <c r="D30" s="252" t="s">
        <v>404</v>
      </c>
      <c r="E30" s="253" t="s">
        <v>65</v>
      </c>
      <c r="F30" s="254">
        <v>4</v>
      </c>
      <c r="G30" s="255">
        <v>31.8</v>
      </c>
      <c r="H30" s="6">
        <f t="shared" si="1"/>
        <v>127.2</v>
      </c>
    </row>
    <row r="31" spans="1:8" ht="18">
      <c r="A31" s="250">
        <v>5</v>
      </c>
      <c r="B31" s="251" t="s">
        <v>105</v>
      </c>
      <c r="C31" s="251">
        <v>88253</v>
      </c>
      <c r="D31" s="252" t="s">
        <v>405</v>
      </c>
      <c r="E31" s="253" t="s">
        <v>65</v>
      </c>
      <c r="F31" s="254">
        <v>4</v>
      </c>
      <c r="G31" s="255">
        <v>13.69</v>
      </c>
      <c r="H31" s="6">
        <f t="shared" si="1"/>
        <v>54.76</v>
      </c>
    </row>
    <row r="32" spans="1:8" ht="18">
      <c r="A32" s="1"/>
      <c r="B32" s="1"/>
      <c r="C32" s="1"/>
      <c r="D32" s="5"/>
      <c r="E32" s="46"/>
      <c r="F32" s="90"/>
      <c r="G32" s="6"/>
      <c r="H32" s="6"/>
    </row>
    <row r="33" spans="1:8" ht="18">
      <c r="A33" s="1"/>
      <c r="B33" s="1"/>
      <c r="C33" s="1"/>
      <c r="D33" s="93" t="s">
        <v>131</v>
      </c>
      <c r="E33" s="46"/>
      <c r="F33" s="90"/>
      <c r="G33" s="6"/>
      <c r="H33" s="6"/>
    </row>
    <row r="34" spans="1:8" ht="18">
      <c r="A34" s="1">
        <v>6</v>
      </c>
      <c r="B34" s="1" t="s">
        <v>109</v>
      </c>
      <c r="C34" s="1" t="s">
        <v>117</v>
      </c>
      <c r="D34" s="5" t="s">
        <v>280</v>
      </c>
      <c r="E34" s="46" t="s">
        <v>65</v>
      </c>
      <c r="F34" s="90">
        <v>10</v>
      </c>
      <c r="G34" s="249">
        <v>70</v>
      </c>
      <c r="H34" s="6">
        <f t="shared" si="1"/>
        <v>700</v>
      </c>
    </row>
    <row r="35" spans="1:8" ht="18">
      <c r="A35" s="251">
        <v>7</v>
      </c>
      <c r="B35" s="251" t="s">
        <v>109</v>
      </c>
      <c r="C35" s="251" t="s">
        <v>117</v>
      </c>
      <c r="D35" s="248" t="s">
        <v>406</v>
      </c>
      <c r="E35" s="46" t="s">
        <v>65</v>
      </c>
      <c r="F35" s="90">
        <v>12</v>
      </c>
      <c r="G35" s="249">
        <v>35</v>
      </c>
      <c r="H35" s="6">
        <f t="shared" si="1"/>
        <v>420</v>
      </c>
    </row>
    <row r="36" spans="1:8" s="14" customFormat="1" ht="18">
      <c r="A36" s="61" t="s">
        <v>95</v>
      </c>
      <c r="B36" s="62"/>
      <c r="C36" s="62"/>
      <c r="D36" s="62"/>
      <c r="E36" s="63"/>
      <c r="F36" s="91"/>
      <c r="G36" s="62"/>
      <c r="H36" s="36">
        <f>SUM(H27:H35)</f>
        <v>7141.96</v>
      </c>
    </row>
    <row r="38" spans="1:8" s="10" customFormat="1" ht="20.25">
      <c r="A38" s="157" t="s">
        <v>423</v>
      </c>
      <c r="B38" s="158"/>
      <c r="C38" s="158"/>
      <c r="D38" s="158"/>
      <c r="E38" s="159"/>
      <c r="F38" s="160"/>
      <c r="G38" s="161"/>
      <c r="H38" s="162"/>
    </row>
    <row r="39" spans="1:8" ht="18">
      <c r="A39" s="523" t="s">
        <v>0</v>
      </c>
      <c r="B39" s="511" t="s">
        <v>88</v>
      </c>
      <c r="C39" s="512"/>
      <c r="D39" s="518" t="s">
        <v>89</v>
      </c>
      <c r="E39" s="539" t="s">
        <v>8</v>
      </c>
      <c r="F39" s="541" t="s">
        <v>122</v>
      </c>
      <c r="G39" s="525" t="s">
        <v>120</v>
      </c>
      <c r="H39" s="526"/>
    </row>
    <row r="40" spans="1:8" ht="18">
      <c r="A40" s="524"/>
      <c r="B40" s="513"/>
      <c r="C40" s="514"/>
      <c r="D40" s="519"/>
      <c r="E40" s="540"/>
      <c r="F40" s="542"/>
      <c r="G40" s="60" t="s">
        <v>121</v>
      </c>
      <c r="H40" s="36" t="s">
        <v>23</v>
      </c>
    </row>
    <row r="41" spans="1:8" ht="18">
      <c r="A41" s="1">
        <v>1</v>
      </c>
      <c r="B41" s="1" t="s">
        <v>105</v>
      </c>
      <c r="C41" s="1">
        <v>88316</v>
      </c>
      <c r="D41" s="5" t="s">
        <v>102</v>
      </c>
      <c r="E41" s="46" t="s">
        <v>101</v>
      </c>
      <c r="F41" s="265">
        <v>0.021</v>
      </c>
      <c r="G41" s="6">
        <v>18.84</v>
      </c>
      <c r="H41" s="266">
        <f>ROUND(F41*G41,2)</f>
        <v>0.4</v>
      </c>
    </row>
    <row r="42" spans="1:8" ht="36">
      <c r="A42" s="1">
        <v>2</v>
      </c>
      <c r="B42" s="1" t="s">
        <v>105</v>
      </c>
      <c r="C42" s="1">
        <v>5631</v>
      </c>
      <c r="D42" s="5" t="s">
        <v>424</v>
      </c>
      <c r="E42" s="46" t="s">
        <v>110</v>
      </c>
      <c r="F42" s="265">
        <v>0.0168</v>
      </c>
      <c r="G42" s="6">
        <v>230.85</v>
      </c>
      <c r="H42" s="266">
        <f>ROUND(F42*G42,2)</f>
        <v>3.88</v>
      </c>
    </row>
    <row r="43" spans="1:8" ht="36">
      <c r="A43" s="1">
        <v>3</v>
      </c>
      <c r="B43" s="1" t="s">
        <v>105</v>
      </c>
      <c r="C43" s="1">
        <v>5632</v>
      </c>
      <c r="D43" s="5" t="s">
        <v>424</v>
      </c>
      <c r="E43" s="46" t="s">
        <v>123</v>
      </c>
      <c r="F43" s="265">
        <v>0.0042</v>
      </c>
      <c r="G43" s="6">
        <v>89.45</v>
      </c>
      <c r="H43" s="266">
        <f>ROUND(F43*G43,2)</f>
        <v>0.38</v>
      </c>
    </row>
    <row r="44" spans="1:8" ht="36">
      <c r="A44" s="1">
        <v>4</v>
      </c>
      <c r="B44" s="1" t="s">
        <v>105</v>
      </c>
      <c r="C44" s="1">
        <v>89876</v>
      </c>
      <c r="D44" s="5" t="s">
        <v>425</v>
      </c>
      <c r="E44" s="46" t="s">
        <v>110</v>
      </c>
      <c r="F44" s="265">
        <v>0.0736</v>
      </c>
      <c r="G44" s="6">
        <v>339</v>
      </c>
      <c r="H44" s="266">
        <f>ROUND(F44*G44,2)</f>
        <v>24.95</v>
      </c>
    </row>
    <row r="45" spans="1:8" ht="36">
      <c r="A45" s="1">
        <v>5</v>
      </c>
      <c r="B45" s="1" t="s">
        <v>105</v>
      </c>
      <c r="C45" s="1">
        <v>89877</v>
      </c>
      <c r="D45" s="5" t="s">
        <v>425</v>
      </c>
      <c r="E45" s="46" t="s">
        <v>123</v>
      </c>
      <c r="F45" s="265">
        <v>0.0223</v>
      </c>
      <c r="G45" s="6">
        <v>71.15</v>
      </c>
      <c r="H45" s="266">
        <f>ROUND(F45*G45,2)</f>
        <v>1.59</v>
      </c>
    </row>
    <row r="46" spans="1:8" ht="18">
      <c r="A46" s="520" t="s">
        <v>95</v>
      </c>
      <c r="B46" s="521"/>
      <c r="C46" s="521"/>
      <c r="D46" s="521"/>
      <c r="E46" s="521"/>
      <c r="F46" s="521"/>
      <c r="G46" s="522"/>
      <c r="H46" s="36">
        <f>SUM(H41:H45)</f>
        <v>31.2</v>
      </c>
    </row>
    <row r="47" spans="1:8" ht="18">
      <c r="A47" s="279"/>
      <c r="B47" s="279"/>
      <c r="C47" s="279"/>
      <c r="D47" s="279"/>
      <c r="E47" s="279"/>
      <c r="F47" s="279"/>
      <c r="G47" s="279"/>
      <c r="H47" s="267"/>
    </row>
    <row r="48" spans="1:8" s="10" customFormat="1" ht="20.25">
      <c r="A48" s="163" t="s">
        <v>447</v>
      </c>
      <c r="B48" s="164"/>
      <c r="C48" s="164"/>
      <c r="D48" s="164"/>
      <c r="E48" s="165"/>
      <c r="F48" s="166"/>
      <c r="G48" s="167"/>
      <c r="H48" s="168"/>
    </row>
    <row r="49" spans="1:8" s="2" customFormat="1" ht="18">
      <c r="A49" s="515" t="s">
        <v>0</v>
      </c>
      <c r="B49" s="515" t="s">
        <v>88</v>
      </c>
      <c r="C49" s="515"/>
      <c r="D49" s="517" t="s">
        <v>89</v>
      </c>
      <c r="E49" s="509" t="s">
        <v>8</v>
      </c>
      <c r="F49" s="516" t="s">
        <v>122</v>
      </c>
      <c r="G49" s="509" t="s">
        <v>120</v>
      </c>
      <c r="H49" s="509"/>
    </row>
    <row r="50" spans="1:8" s="2" customFormat="1" ht="18">
      <c r="A50" s="515"/>
      <c r="B50" s="515"/>
      <c r="C50" s="515"/>
      <c r="D50" s="517"/>
      <c r="E50" s="509"/>
      <c r="F50" s="516"/>
      <c r="G50" s="60" t="s">
        <v>121</v>
      </c>
      <c r="H50" s="64" t="s">
        <v>23</v>
      </c>
    </row>
    <row r="51" spans="1:8" ht="18">
      <c r="A51" s="1">
        <v>1</v>
      </c>
      <c r="B51" s="1" t="s">
        <v>105</v>
      </c>
      <c r="C51" s="1">
        <v>5944</v>
      </c>
      <c r="D51" s="5" t="s">
        <v>141</v>
      </c>
      <c r="E51" s="46" t="s">
        <v>110</v>
      </c>
      <c r="F51" s="90">
        <v>0.004571301148400045</v>
      </c>
      <c r="G51" s="6">
        <v>237.33</v>
      </c>
      <c r="H51" s="6">
        <f>ROUND(F51*G51,2)</f>
        <v>1.08</v>
      </c>
    </row>
    <row r="52" spans="1:8" ht="18">
      <c r="A52" s="1">
        <v>2</v>
      </c>
      <c r="B52" s="1" t="s">
        <v>105</v>
      </c>
      <c r="C52" s="1">
        <v>5946</v>
      </c>
      <c r="D52" s="5" t="s">
        <v>141</v>
      </c>
      <c r="E52" s="46" t="s">
        <v>123</v>
      </c>
      <c r="F52" s="90">
        <v>0.006578213847697625</v>
      </c>
      <c r="G52" s="6">
        <v>87.91</v>
      </c>
      <c r="H52" s="6">
        <f aca="true" t="shared" si="2" ref="H52:H62">ROUND(F52*G52,2)</f>
        <v>0.58</v>
      </c>
    </row>
    <row r="53" spans="1:8" ht="18">
      <c r="A53" s="1">
        <v>3</v>
      </c>
      <c r="B53" s="1" t="s">
        <v>105</v>
      </c>
      <c r="C53" s="1">
        <v>5932</v>
      </c>
      <c r="D53" s="5" t="s">
        <v>142</v>
      </c>
      <c r="E53" s="46" t="s">
        <v>110</v>
      </c>
      <c r="F53" s="90">
        <v>0.01114951499609767</v>
      </c>
      <c r="G53" s="6">
        <v>258.58</v>
      </c>
      <c r="H53" s="6">
        <f t="shared" si="2"/>
        <v>2.88</v>
      </c>
    </row>
    <row r="54" spans="1:8" ht="18">
      <c r="A54" s="1">
        <v>4</v>
      </c>
      <c r="B54" s="1" t="s">
        <v>105</v>
      </c>
      <c r="C54" s="1">
        <v>5934</v>
      </c>
      <c r="D54" s="5" t="s">
        <v>142</v>
      </c>
      <c r="E54" s="46" t="s">
        <v>123</v>
      </c>
      <c r="F54" s="90">
        <v>0</v>
      </c>
      <c r="G54" s="6">
        <v>87.02</v>
      </c>
      <c r="H54" s="6">
        <f t="shared" si="2"/>
        <v>0</v>
      </c>
    </row>
    <row r="55" spans="1:8" ht="18">
      <c r="A55" s="1">
        <v>5</v>
      </c>
      <c r="B55" s="1" t="s">
        <v>105</v>
      </c>
      <c r="C55" s="1">
        <v>5684</v>
      </c>
      <c r="D55" s="5" t="s">
        <v>143</v>
      </c>
      <c r="E55" s="46" t="s">
        <v>110</v>
      </c>
      <c r="F55" s="90">
        <v>0.0036793399487122314</v>
      </c>
      <c r="G55" s="6">
        <v>152.81</v>
      </c>
      <c r="H55" s="6">
        <f t="shared" si="2"/>
        <v>0.56</v>
      </c>
    </row>
    <row r="56" spans="1:8" ht="18">
      <c r="A56" s="1">
        <v>6</v>
      </c>
      <c r="B56" s="1" t="s">
        <v>105</v>
      </c>
      <c r="C56" s="1">
        <v>5685</v>
      </c>
      <c r="D56" s="5" t="s">
        <v>143</v>
      </c>
      <c r="E56" s="46" t="s">
        <v>123</v>
      </c>
      <c r="F56" s="90">
        <v>0.007470175047385439</v>
      </c>
      <c r="G56" s="6">
        <v>52.49</v>
      </c>
      <c r="H56" s="6">
        <f t="shared" si="2"/>
        <v>0.39</v>
      </c>
    </row>
    <row r="57" spans="1:8" ht="18">
      <c r="A57" s="1">
        <v>7</v>
      </c>
      <c r="B57" s="1" t="s">
        <v>105</v>
      </c>
      <c r="C57" s="1">
        <v>88843</v>
      </c>
      <c r="D57" s="5" t="s">
        <v>144</v>
      </c>
      <c r="E57" s="46" t="s">
        <v>110</v>
      </c>
      <c r="F57" s="90">
        <v>0.0037908350986732083</v>
      </c>
      <c r="G57" s="6">
        <v>228.71</v>
      </c>
      <c r="H57" s="6">
        <f t="shared" si="2"/>
        <v>0.87</v>
      </c>
    </row>
    <row r="58" spans="1:8" ht="18">
      <c r="A58" s="1">
        <v>8</v>
      </c>
      <c r="B58" s="1" t="s">
        <v>105</v>
      </c>
      <c r="C58" s="1">
        <v>88844</v>
      </c>
      <c r="D58" s="5" t="s">
        <v>144</v>
      </c>
      <c r="E58" s="46" t="s">
        <v>123</v>
      </c>
      <c r="F58" s="90">
        <v>0.007358679897424463</v>
      </c>
      <c r="G58" s="6">
        <v>73.97</v>
      </c>
      <c r="H58" s="6">
        <f t="shared" si="2"/>
        <v>0.54</v>
      </c>
    </row>
    <row r="59" spans="1:8" ht="18">
      <c r="A59" s="1">
        <v>9</v>
      </c>
      <c r="B59" s="1" t="s">
        <v>105</v>
      </c>
      <c r="C59" s="1">
        <v>88316</v>
      </c>
      <c r="D59" s="5" t="s">
        <v>102</v>
      </c>
      <c r="E59" s="46" t="s">
        <v>101</v>
      </c>
      <c r="F59" s="90">
        <v>0.02229902999219534</v>
      </c>
      <c r="G59" s="6">
        <v>18.84</v>
      </c>
      <c r="H59" s="6">
        <f t="shared" si="2"/>
        <v>0.42</v>
      </c>
    </row>
    <row r="60" spans="1:8" ht="36">
      <c r="A60" s="1">
        <v>10</v>
      </c>
      <c r="B60" s="1" t="s">
        <v>105</v>
      </c>
      <c r="C60" s="1">
        <v>90776</v>
      </c>
      <c r="D60" s="5" t="s">
        <v>145</v>
      </c>
      <c r="E60" s="46" t="s">
        <v>101</v>
      </c>
      <c r="F60" s="90">
        <v>0.01114951499609767</v>
      </c>
      <c r="G60" s="6">
        <v>48.97</v>
      </c>
      <c r="H60" s="6">
        <f t="shared" si="2"/>
        <v>0.55</v>
      </c>
    </row>
    <row r="61" spans="1:8" ht="18">
      <c r="A61" s="1">
        <v>11</v>
      </c>
      <c r="B61" s="1" t="s">
        <v>105</v>
      </c>
      <c r="C61" s="1">
        <v>4730</v>
      </c>
      <c r="D61" s="5" t="s">
        <v>147</v>
      </c>
      <c r="E61" s="46" t="s">
        <v>146</v>
      </c>
      <c r="F61" s="90">
        <v>0.975</v>
      </c>
      <c r="G61" s="6">
        <v>58.19</v>
      </c>
      <c r="H61" s="6">
        <f t="shared" si="2"/>
        <v>56.74</v>
      </c>
    </row>
    <row r="62" spans="1:8" ht="18">
      <c r="A62" s="1">
        <v>12</v>
      </c>
      <c r="B62" s="1" t="s">
        <v>105</v>
      </c>
      <c r="C62" s="1">
        <v>4721</v>
      </c>
      <c r="D62" s="5" t="s">
        <v>148</v>
      </c>
      <c r="E62" s="46" t="s">
        <v>146</v>
      </c>
      <c r="F62" s="90">
        <v>0.375</v>
      </c>
      <c r="G62" s="6">
        <v>61.91</v>
      </c>
      <c r="H62" s="6">
        <f t="shared" si="2"/>
        <v>23.22</v>
      </c>
    </row>
    <row r="63" spans="1:8" s="14" customFormat="1" ht="18">
      <c r="A63" s="61" t="s">
        <v>95</v>
      </c>
      <c r="B63" s="62"/>
      <c r="C63" s="62"/>
      <c r="D63" s="62"/>
      <c r="E63" s="63"/>
      <c r="F63" s="91"/>
      <c r="G63" s="62"/>
      <c r="H63" s="36">
        <f>SUM(H51:H62)</f>
        <v>87.83</v>
      </c>
    </row>
    <row r="65" spans="1:8" s="262" customFormat="1" ht="20.25">
      <c r="A65" s="256" t="s">
        <v>449</v>
      </c>
      <c r="B65" s="257" t="s">
        <v>503</v>
      </c>
      <c r="C65" s="257"/>
      <c r="D65" s="257"/>
      <c r="E65" s="258"/>
      <c r="F65" s="259"/>
      <c r="G65" s="260"/>
      <c r="H65" s="261"/>
    </row>
    <row r="66" spans="1:8" s="268" customFormat="1" ht="24.75" customHeight="1">
      <c r="A66" s="508" t="s">
        <v>0</v>
      </c>
      <c r="B66" s="508" t="s">
        <v>88</v>
      </c>
      <c r="C66" s="508"/>
      <c r="D66" s="510" t="s">
        <v>89</v>
      </c>
      <c r="E66" s="527" t="s">
        <v>8</v>
      </c>
      <c r="F66" s="528" t="s">
        <v>122</v>
      </c>
      <c r="G66" s="527" t="s">
        <v>120</v>
      </c>
      <c r="H66" s="527"/>
    </row>
    <row r="67" spans="1:8" s="268" customFormat="1" ht="24.75" customHeight="1">
      <c r="A67" s="508"/>
      <c r="B67" s="508"/>
      <c r="C67" s="508"/>
      <c r="D67" s="510"/>
      <c r="E67" s="527"/>
      <c r="F67" s="528"/>
      <c r="G67" s="290" t="s">
        <v>121</v>
      </c>
      <c r="H67" s="269" t="s">
        <v>23</v>
      </c>
    </row>
    <row r="68" spans="1:8" s="268" customFormat="1" ht="24.75" customHeight="1">
      <c r="A68" s="250">
        <v>1</v>
      </c>
      <c r="B68" s="250" t="s">
        <v>105</v>
      </c>
      <c r="C68" s="250">
        <v>88309</v>
      </c>
      <c r="D68" s="252" t="s">
        <v>132</v>
      </c>
      <c r="E68" s="253" t="s">
        <v>65</v>
      </c>
      <c r="F68" s="254">
        <v>8</v>
      </c>
      <c r="G68" s="270">
        <v>22.79</v>
      </c>
      <c r="H68" s="270">
        <f>ROUND(F68*G68,2)</f>
        <v>182.32</v>
      </c>
    </row>
    <row r="69" spans="1:8" s="268" customFormat="1" ht="24.75" customHeight="1">
      <c r="A69" s="250">
        <v>2</v>
      </c>
      <c r="B69" s="250" t="s">
        <v>105</v>
      </c>
      <c r="C69" s="250">
        <v>88316</v>
      </c>
      <c r="D69" s="252" t="s">
        <v>102</v>
      </c>
      <c r="E69" s="253" t="s">
        <v>65</v>
      </c>
      <c r="F69" s="254">
        <v>8</v>
      </c>
      <c r="G69" s="270">
        <v>18.84</v>
      </c>
      <c r="H69" s="270">
        <f aca="true" t="shared" si="3" ref="H69:H84">ROUND(F69*G69,2)</f>
        <v>150.72</v>
      </c>
    </row>
    <row r="70" spans="1:8" s="268" customFormat="1" ht="24.75" customHeight="1">
      <c r="A70" s="250">
        <v>3</v>
      </c>
      <c r="B70" s="250" t="s">
        <v>109</v>
      </c>
      <c r="C70" s="250" t="s">
        <v>433</v>
      </c>
      <c r="D70" s="252" t="s">
        <v>434</v>
      </c>
      <c r="E70" s="253" t="s">
        <v>65</v>
      </c>
      <c r="F70" s="254">
        <v>0.2</v>
      </c>
      <c r="G70" s="270">
        <v>139.43</v>
      </c>
      <c r="H70" s="270">
        <f t="shared" si="3"/>
        <v>27.89</v>
      </c>
    </row>
    <row r="71" spans="1:8" s="268" customFormat="1" ht="24.75" customHeight="1">
      <c r="A71" s="250"/>
      <c r="B71" s="250" t="s">
        <v>109</v>
      </c>
      <c r="C71" s="250" t="s">
        <v>433</v>
      </c>
      <c r="D71" s="252" t="s">
        <v>435</v>
      </c>
      <c r="E71" s="253" t="s">
        <v>65</v>
      </c>
      <c r="F71" s="254">
        <v>0.8</v>
      </c>
      <c r="G71" s="270">
        <v>62.81</v>
      </c>
      <c r="H71" s="270">
        <f t="shared" si="3"/>
        <v>50.25</v>
      </c>
    </row>
    <row r="72" spans="1:8" s="272" customFormat="1" ht="24.75" customHeight="1">
      <c r="A72" s="251">
        <v>4</v>
      </c>
      <c r="B72" s="251" t="s">
        <v>105</v>
      </c>
      <c r="C72" s="251">
        <v>88294</v>
      </c>
      <c r="D72" s="248" t="s">
        <v>436</v>
      </c>
      <c r="E72" s="46" t="s">
        <v>65</v>
      </c>
      <c r="F72" s="90">
        <v>1</v>
      </c>
      <c r="G72" s="271">
        <v>29.67</v>
      </c>
      <c r="H72" s="270">
        <f t="shared" si="3"/>
        <v>29.67</v>
      </c>
    </row>
    <row r="73" spans="1:8" s="272" customFormat="1" ht="36">
      <c r="A73" s="251">
        <v>5</v>
      </c>
      <c r="B73" s="251" t="s">
        <v>105</v>
      </c>
      <c r="C73" s="251">
        <v>25067</v>
      </c>
      <c r="D73" s="248" t="s">
        <v>437</v>
      </c>
      <c r="E73" s="46" t="s">
        <v>20</v>
      </c>
      <c r="F73" s="90">
        <v>90</v>
      </c>
      <c r="G73" s="271">
        <v>5.35</v>
      </c>
      <c r="H73" s="270">
        <f t="shared" si="3"/>
        <v>481.5</v>
      </c>
    </row>
    <row r="74" spans="1:8" s="272" customFormat="1" ht="36">
      <c r="A74" s="251">
        <v>6</v>
      </c>
      <c r="B74" s="251" t="s">
        <v>105</v>
      </c>
      <c r="C74" s="251">
        <v>88631</v>
      </c>
      <c r="D74" s="248" t="s">
        <v>438</v>
      </c>
      <c r="E74" s="46" t="s">
        <v>3</v>
      </c>
      <c r="F74" s="90">
        <v>0.25272</v>
      </c>
      <c r="G74" s="273">
        <v>562.94</v>
      </c>
      <c r="H74" s="270">
        <f t="shared" si="3"/>
        <v>142.27</v>
      </c>
    </row>
    <row r="75" spans="1:8" s="272" customFormat="1" ht="24.75" customHeight="1">
      <c r="A75" s="251">
        <v>7</v>
      </c>
      <c r="B75" s="251" t="s">
        <v>105</v>
      </c>
      <c r="C75" s="251">
        <v>94974</v>
      </c>
      <c r="D75" s="248" t="s">
        <v>439</v>
      </c>
      <c r="E75" s="46" t="s">
        <v>3</v>
      </c>
      <c r="F75" s="90">
        <v>0.044807688000000005</v>
      </c>
      <c r="G75" s="273">
        <v>402.55</v>
      </c>
      <c r="H75" s="270">
        <f t="shared" si="3"/>
        <v>18.04</v>
      </c>
    </row>
    <row r="76" spans="1:8" s="272" customFormat="1" ht="24.75" customHeight="1">
      <c r="A76" s="251">
        <v>8</v>
      </c>
      <c r="B76" s="251" t="s">
        <v>105</v>
      </c>
      <c r="C76" s="251">
        <v>4721</v>
      </c>
      <c r="D76" s="248" t="s">
        <v>440</v>
      </c>
      <c r="E76" s="46" t="s">
        <v>3</v>
      </c>
      <c r="F76" s="90">
        <v>0.16900000000000004</v>
      </c>
      <c r="G76" s="271">
        <v>61.91</v>
      </c>
      <c r="H76" s="270">
        <f t="shared" si="3"/>
        <v>10.46</v>
      </c>
    </row>
    <row r="77" spans="1:8" s="272" customFormat="1" ht="24.75" customHeight="1">
      <c r="A77" s="251">
        <v>9</v>
      </c>
      <c r="B77" s="251" t="s">
        <v>105</v>
      </c>
      <c r="C77" s="251">
        <v>93590</v>
      </c>
      <c r="D77" s="248" t="s">
        <v>511</v>
      </c>
      <c r="E77" s="46" t="s">
        <v>284</v>
      </c>
      <c r="F77" s="90">
        <v>12.759500000000003</v>
      </c>
      <c r="G77" s="273">
        <v>0.96</v>
      </c>
      <c r="H77" s="270">
        <f t="shared" si="3"/>
        <v>12.25</v>
      </c>
    </row>
    <row r="78" spans="1:8" s="272" customFormat="1" ht="18">
      <c r="A78" s="251">
        <v>10</v>
      </c>
      <c r="B78" s="251" t="s">
        <v>105</v>
      </c>
      <c r="C78" s="251">
        <v>6189</v>
      </c>
      <c r="D78" s="248" t="s">
        <v>512</v>
      </c>
      <c r="E78" s="46" t="s">
        <v>6</v>
      </c>
      <c r="F78" s="90">
        <v>1.5</v>
      </c>
      <c r="G78" s="271">
        <v>16.39</v>
      </c>
      <c r="H78" s="270">
        <f t="shared" si="3"/>
        <v>24.59</v>
      </c>
    </row>
    <row r="79" spans="1:8" s="272" customFormat="1" ht="24.75" customHeight="1">
      <c r="A79" s="251">
        <v>11</v>
      </c>
      <c r="B79" s="251" t="s">
        <v>105</v>
      </c>
      <c r="C79" s="251">
        <v>4059</v>
      </c>
      <c r="D79" s="248" t="s">
        <v>441</v>
      </c>
      <c r="E79" s="46" t="s">
        <v>6</v>
      </c>
      <c r="F79" s="90">
        <v>1</v>
      </c>
      <c r="G79" s="271">
        <v>31.93</v>
      </c>
      <c r="H79" s="270">
        <f t="shared" si="3"/>
        <v>31.93</v>
      </c>
    </row>
    <row r="80" spans="1:8" s="272" customFormat="1" ht="36">
      <c r="A80" s="251">
        <v>12</v>
      </c>
      <c r="B80" s="251" t="s">
        <v>105</v>
      </c>
      <c r="C80" s="251">
        <v>94975</v>
      </c>
      <c r="D80" s="248" t="s">
        <v>442</v>
      </c>
      <c r="E80" s="46" t="s">
        <v>3</v>
      </c>
      <c r="F80" s="90">
        <v>0.072</v>
      </c>
      <c r="G80" s="273">
        <v>443.39</v>
      </c>
      <c r="H80" s="270">
        <f t="shared" si="3"/>
        <v>31.92</v>
      </c>
    </row>
    <row r="81" spans="1:8" s="272" customFormat="1" ht="24.75" customHeight="1">
      <c r="A81" s="251">
        <v>13</v>
      </c>
      <c r="B81" s="251" t="s">
        <v>105</v>
      </c>
      <c r="C81" s="251">
        <v>43061</v>
      </c>
      <c r="D81" s="248" t="s">
        <v>443</v>
      </c>
      <c r="E81" s="46" t="s">
        <v>444</v>
      </c>
      <c r="F81" s="90">
        <v>2.35</v>
      </c>
      <c r="G81" s="271">
        <v>10.63</v>
      </c>
      <c r="H81" s="270">
        <f t="shared" si="3"/>
        <v>24.98</v>
      </c>
    </row>
    <row r="82" spans="1:8" s="272" customFormat="1" ht="24.75" customHeight="1">
      <c r="A82" s="251">
        <v>14</v>
      </c>
      <c r="B82" s="251" t="s">
        <v>105</v>
      </c>
      <c r="C82" s="251">
        <v>94964</v>
      </c>
      <c r="D82" s="248" t="s">
        <v>445</v>
      </c>
      <c r="E82" s="46" t="s">
        <v>3</v>
      </c>
      <c r="F82" s="90">
        <v>0.09240000000000001</v>
      </c>
      <c r="G82" s="271">
        <v>402.55</v>
      </c>
      <c r="H82" s="270">
        <f t="shared" si="3"/>
        <v>37.2</v>
      </c>
    </row>
    <row r="83" spans="1:8" s="272" customFormat="1" ht="24.75" customHeight="1">
      <c r="A83" s="251">
        <v>15</v>
      </c>
      <c r="B83" s="251" t="s">
        <v>105</v>
      </c>
      <c r="C83" s="251">
        <v>4417</v>
      </c>
      <c r="D83" s="248" t="s">
        <v>446</v>
      </c>
      <c r="E83" s="46" t="s">
        <v>6</v>
      </c>
      <c r="F83" s="90">
        <v>4.6</v>
      </c>
      <c r="G83" s="271">
        <v>4.32</v>
      </c>
      <c r="H83" s="270">
        <f t="shared" si="3"/>
        <v>19.87</v>
      </c>
    </row>
    <row r="84" spans="1:8" s="272" customFormat="1" ht="18">
      <c r="A84" s="251">
        <v>16</v>
      </c>
      <c r="B84" s="251" t="s">
        <v>105</v>
      </c>
      <c r="C84" s="251">
        <v>6189</v>
      </c>
      <c r="D84" s="248" t="s">
        <v>512</v>
      </c>
      <c r="E84" s="46" t="s">
        <v>6</v>
      </c>
      <c r="F84" s="90">
        <v>1.32</v>
      </c>
      <c r="G84" s="271">
        <v>16.39</v>
      </c>
      <c r="H84" s="270">
        <f t="shared" si="3"/>
        <v>21.63</v>
      </c>
    </row>
    <row r="85" spans="1:8" s="268" customFormat="1" ht="24.75" customHeight="1">
      <c r="A85" s="274" t="s">
        <v>95</v>
      </c>
      <c r="B85" s="275"/>
      <c r="C85" s="275"/>
      <c r="D85" s="275"/>
      <c r="E85" s="276"/>
      <c r="F85" s="277"/>
      <c r="G85" s="275"/>
      <c r="H85" s="278">
        <f>SUM(H68:H84)</f>
        <v>1297.49</v>
      </c>
    </row>
  </sheetData>
  <sheetProtection/>
  <mergeCells count="35">
    <mergeCell ref="A6:A7"/>
    <mergeCell ref="B6:C7"/>
    <mergeCell ref="D6:D7"/>
    <mergeCell ref="G49:H49"/>
    <mergeCell ref="G6:H6"/>
    <mergeCell ref="F6:F7"/>
    <mergeCell ref="E39:E40"/>
    <mergeCell ref="F24:F25"/>
    <mergeCell ref="F39:F40"/>
    <mergeCell ref="A24:A25"/>
    <mergeCell ref="G66:H66"/>
    <mergeCell ref="D49:D50"/>
    <mergeCell ref="A49:A50"/>
    <mergeCell ref="F66:F67"/>
    <mergeCell ref="A4:H4"/>
    <mergeCell ref="E66:E67"/>
    <mergeCell ref="A19:H19"/>
    <mergeCell ref="A20:H20"/>
    <mergeCell ref="A21:H21"/>
    <mergeCell ref="E6:E7"/>
    <mergeCell ref="B24:C25"/>
    <mergeCell ref="D24:D25"/>
    <mergeCell ref="E24:E25"/>
    <mergeCell ref="D39:D40"/>
    <mergeCell ref="A46:G46"/>
    <mergeCell ref="A39:A40"/>
    <mergeCell ref="G39:H39"/>
    <mergeCell ref="G24:H24"/>
    <mergeCell ref="A66:A67"/>
    <mergeCell ref="E49:E50"/>
    <mergeCell ref="D66:D67"/>
    <mergeCell ref="B39:C40"/>
    <mergeCell ref="B49:C50"/>
    <mergeCell ref="F49:F50"/>
    <mergeCell ref="B66:C67"/>
  </mergeCells>
  <printOptions/>
  <pageMargins left="0.3937007874015748" right="0.3937007874015748" top="0.3937007874015748" bottom="0.3937007874015748" header="0" footer="0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6"/>
  <dimension ref="B1:I4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1.140625" style="29" customWidth="1"/>
    <col min="2" max="2" width="27.140625" style="29" bestFit="1" customWidth="1"/>
    <col min="3" max="3" width="8.421875" style="28" bestFit="1" customWidth="1"/>
    <col min="4" max="4" width="8.28125" style="29" bestFit="1" customWidth="1"/>
    <col min="5" max="5" width="12.140625" style="29" bestFit="1" customWidth="1"/>
    <col min="6" max="8" width="13.7109375" style="29" bestFit="1" customWidth="1"/>
    <col min="9" max="9" width="12.140625" style="29" bestFit="1" customWidth="1"/>
    <col min="10" max="10" width="10.28125" style="29" bestFit="1" customWidth="1"/>
    <col min="11" max="16384" width="9.140625" style="29" customWidth="1"/>
  </cols>
  <sheetData>
    <row r="1" ht="18">
      <c r="B1" s="155" t="str">
        <f>Orçamento!A2</f>
        <v>Obra: Pavimentação Asfáltica da Avenida 25 de Abril</v>
      </c>
    </row>
    <row r="2" spans="2:9" ht="18">
      <c r="B2" s="25" t="s">
        <v>56</v>
      </c>
      <c r="C2" s="26"/>
      <c r="D2" s="25"/>
      <c r="E2" s="25"/>
      <c r="F2" s="25"/>
      <c r="G2" s="25"/>
      <c r="H2" s="25"/>
      <c r="I2" s="25"/>
    </row>
    <row r="3" s="25" customFormat="1" ht="18">
      <c r="C3" s="26"/>
    </row>
    <row r="4" spans="2:9" ht="18">
      <c r="B4" s="25" t="s">
        <v>61</v>
      </c>
      <c r="C4" s="26"/>
      <c r="D4" s="25"/>
      <c r="E4" s="25"/>
      <c r="F4" s="25"/>
      <c r="G4" s="25"/>
      <c r="H4" s="25"/>
      <c r="I4" s="25"/>
    </row>
    <row r="5" spans="2:6" ht="18">
      <c r="B5" s="142" t="s">
        <v>57</v>
      </c>
      <c r="C5" s="143">
        <v>10</v>
      </c>
      <c r="E5" s="144"/>
      <c r="F5" s="29" t="s">
        <v>264</v>
      </c>
    </row>
    <row r="6" spans="2:3" ht="18">
      <c r="B6" s="145" t="s">
        <v>265</v>
      </c>
      <c r="C6" s="146">
        <v>5</v>
      </c>
    </row>
    <row r="7" spans="2:3" ht="18">
      <c r="B7" s="145" t="s">
        <v>266</v>
      </c>
      <c r="C7" s="146">
        <v>5</v>
      </c>
    </row>
    <row r="8" spans="2:3" ht="18">
      <c r="B8" s="142" t="s">
        <v>267</v>
      </c>
      <c r="C8" s="143">
        <v>0.4</v>
      </c>
    </row>
    <row r="9" spans="2:3" ht="18">
      <c r="B9" s="145" t="s">
        <v>265</v>
      </c>
      <c r="C9" s="146">
        <v>0.2</v>
      </c>
    </row>
    <row r="10" spans="2:3" ht="18">
      <c r="B10" s="145" t="s">
        <v>266</v>
      </c>
      <c r="C10" s="146">
        <v>0.2</v>
      </c>
    </row>
    <row r="11" spans="2:3" ht="18">
      <c r="B11" s="142" t="s">
        <v>268</v>
      </c>
      <c r="C11" s="143">
        <v>0</v>
      </c>
    </row>
    <row r="12" spans="2:3" ht="18">
      <c r="B12" s="145" t="s">
        <v>265</v>
      </c>
      <c r="C12" s="146"/>
    </row>
    <row r="13" spans="2:3" ht="18">
      <c r="B13" s="145" t="s">
        <v>266</v>
      </c>
      <c r="C13" s="146"/>
    </row>
    <row r="14" spans="2:3" ht="18">
      <c r="B14" s="142" t="s">
        <v>269</v>
      </c>
      <c r="C14" s="143">
        <v>3</v>
      </c>
    </row>
    <row r="15" spans="2:3" ht="18">
      <c r="B15" s="145" t="s">
        <v>265</v>
      </c>
      <c r="C15" s="146">
        <v>1.5</v>
      </c>
    </row>
    <row r="16" spans="2:3" ht="18">
      <c r="B16" s="147" t="s">
        <v>266</v>
      </c>
      <c r="C16" s="148">
        <v>1.5</v>
      </c>
    </row>
    <row r="17" spans="2:3" ht="18">
      <c r="B17" s="149"/>
      <c r="C17" s="150"/>
    </row>
    <row r="18" spans="2:3" ht="18">
      <c r="B18" s="25" t="s">
        <v>270</v>
      </c>
      <c r="C18" s="150"/>
    </row>
    <row r="19" spans="2:3" ht="18">
      <c r="B19" s="151" t="s">
        <v>58</v>
      </c>
      <c r="C19" s="152">
        <v>0.03</v>
      </c>
    </row>
    <row r="20" spans="2:3" ht="18">
      <c r="B20" s="153" t="s">
        <v>84</v>
      </c>
      <c r="C20" s="148">
        <v>0.15</v>
      </c>
    </row>
    <row r="21" spans="2:3" ht="18">
      <c r="B21" s="151" t="s">
        <v>59</v>
      </c>
      <c r="C21" s="152">
        <v>0.15</v>
      </c>
    </row>
    <row r="22" spans="2:3" ht="18">
      <c r="B22" s="153" t="s">
        <v>60</v>
      </c>
      <c r="C22" s="148">
        <v>0.05</v>
      </c>
    </row>
    <row r="24" ht="18">
      <c r="B24" s="25" t="s">
        <v>61</v>
      </c>
    </row>
    <row r="25" spans="2:5" ht="18">
      <c r="B25" s="27" t="s">
        <v>128</v>
      </c>
      <c r="C25" s="30">
        <v>13</v>
      </c>
      <c r="E25" s="183"/>
    </row>
    <row r="26" spans="2:3" ht="18">
      <c r="B26" s="27" t="s">
        <v>265</v>
      </c>
      <c r="C26" s="30">
        <v>6.5</v>
      </c>
    </row>
    <row r="27" spans="2:6" ht="18">
      <c r="B27" s="27" t="s">
        <v>266</v>
      </c>
      <c r="C27" s="30">
        <v>6.5</v>
      </c>
      <c r="E27" s="285"/>
      <c r="F27" s="156"/>
    </row>
    <row r="28" spans="2:8" ht="18">
      <c r="B28" s="27" t="s">
        <v>62</v>
      </c>
      <c r="C28" s="30">
        <v>11.3</v>
      </c>
      <c r="D28" s="156"/>
      <c r="E28" s="282"/>
      <c r="F28" s="156"/>
      <c r="G28" s="280"/>
      <c r="H28" s="281"/>
    </row>
    <row r="29" spans="2:8" ht="18">
      <c r="B29" s="27" t="s">
        <v>84</v>
      </c>
      <c r="C29" s="30">
        <v>11.08</v>
      </c>
      <c r="D29" s="156"/>
      <c r="E29" s="280"/>
      <c r="G29" s="280"/>
      <c r="H29" s="281"/>
    </row>
    <row r="30" spans="2:5" ht="18">
      <c r="B30" s="27" t="s">
        <v>58</v>
      </c>
      <c r="C30" s="30">
        <v>10.85</v>
      </c>
      <c r="D30" s="156"/>
      <c r="E30" s="280"/>
    </row>
    <row r="31" spans="2:8" ht="18">
      <c r="B31" s="27" t="s">
        <v>59</v>
      </c>
      <c r="C31" s="30">
        <v>10.63</v>
      </c>
      <c r="D31" s="156"/>
      <c r="E31" s="280"/>
      <c r="G31" s="280"/>
      <c r="H31" s="281"/>
    </row>
    <row r="32" spans="2:6" ht="18">
      <c r="B32" s="27" t="s">
        <v>63</v>
      </c>
      <c r="C32" s="30">
        <v>10.4</v>
      </c>
      <c r="D32" s="156"/>
      <c r="F32" s="156"/>
    </row>
    <row r="33" spans="2:3" ht="18">
      <c r="B33" s="27" t="s">
        <v>64</v>
      </c>
      <c r="C33" s="30">
        <v>10</v>
      </c>
    </row>
    <row r="34" spans="2:8" ht="18">
      <c r="B34" s="27" t="s">
        <v>60</v>
      </c>
      <c r="C34" s="30">
        <v>10</v>
      </c>
      <c r="D34" s="156"/>
      <c r="E34" s="282"/>
      <c r="G34" s="280"/>
      <c r="H34" s="281"/>
    </row>
    <row r="35" ht="18">
      <c r="E35" s="285"/>
    </row>
    <row r="36" spans="4:5" ht="18">
      <c r="D36" s="156"/>
      <c r="E36" s="283"/>
    </row>
    <row r="37" ht="18">
      <c r="I37" s="284"/>
    </row>
    <row r="40" ht="18">
      <c r="D40" s="156"/>
    </row>
  </sheetData>
  <sheetProtection/>
  <printOptions/>
  <pageMargins left="0.3937007874015748" right="0.3937007874015748" top="0.3937007874015748" bottom="0.3937007874015748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85" zoomScaleSheetLayoutView="85" zoomScalePageLayoutView="0" workbookViewId="0" topLeftCell="A7">
      <selection activeCell="O36" sqref="O36:P36"/>
    </sheetView>
  </sheetViews>
  <sheetFormatPr defaultColWidth="9.140625" defaultRowHeight="20.25" customHeight="1"/>
  <cols>
    <col min="1" max="1" width="12.7109375" style="307" customWidth="1"/>
    <col min="2" max="3" width="15.28125" style="308" customWidth="1"/>
    <col min="4" max="4" width="12.7109375" style="308" customWidth="1"/>
    <col min="5" max="5" width="15.28125" style="308" customWidth="1"/>
    <col min="6" max="6" width="12.7109375" style="308" customWidth="1"/>
    <col min="7" max="7" width="15.28125" style="308" customWidth="1"/>
    <col min="8" max="8" width="12.7109375" style="308" customWidth="1"/>
    <col min="9" max="9" width="15.28125" style="308" customWidth="1"/>
    <col min="10" max="10" width="12.7109375" style="308" customWidth="1"/>
    <col min="11" max="11" width="15.28125" style="308" customWidth="1"/>
    <col min="12" max="12" width="12.7109375" style="308" customWidth="1"/>
    <col min="13" max="16384" width="9.140625" style="301" customWidth="1"/>
  </cols>
  <sheetData>
    <row r="1" spans="1:12" s="296" customFormat="1" ht="13.5">
      <c r="A1" s="294" t="s">
        <v>546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2" s="296" customFormat="1" ht="13.5">
      <c r="A2" s="294" t="s">
        <v>547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s="296" customFormat="1" ht="13.5">
      <c r="A3" s="297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s="296" customFormat="1" ht="13.5">
      <c r="A4" s="544" t="s">
        <v>412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6"/>
    </row>
    <row r="5" spans="1:12" s="296" customFormat="1" ht="13.5">
      <c r="A5" s="547" t="s">
        <v>124</v>
      </c>
      <c r="B5" s="548" t="s">
        <v>413</v>
      </c>
      <c r="C5" s="548" t="s">
        <v>125</v>
      </c>
      <c r="D5" s="548"/>
      <c r="E5" s="548" t="s">
        <v>126</v>
      </c>
      <c r="F5" s="548"/>
      <c r="G5" s="548" t="s">
        <v>414</v>
      </c>
      <c r="H5" s="548"/>
      <c r="I5" s="548" t="s">
        <v>127</v>
      </c>
      <c r="J5" s="548"/>
      <c r="K5" s="548" t="s">
        <v>53</v>
      </c>
      <c r="L5" s="548"/>
    </row>
    <row r="6" spans="1:12" s="296" customFormat="1" ht="13.5">
      <c r="A6" s="547"/>
      <c r="B6" s="548"/>
      <c r="C6" s="298" t="s">
        <v>409</v>
      </c>
      <c r="D6" s="298" t="s">
        <v>415</v>
      </c>
      <c r="E6" s="298" t="s">
        <v>409</v>
      </c>
      <c r="F6" s="298" t="s">
        <v>415</v>
      </c>
      <c r="G6" s="298" t="s">
        <v>409</v>
      </c>
      <c r="H6" s="298" t="s">
        <v>415</v>
      </c>
      <c r="I6" s="298" t="s">
        <v>409</v>
      </c>
      <c r="J6" s="298" t="s">
        <v>415</v>
      </c>
      <c r="K6" s="298" t="s">
        <v>409</v>
      </c>
      <c r="L6" s="298" t="s">
        <v>415</v>
      </c>
    </row>
    <row r="7" spans="1:12" ht="13.5">
      <c r="A7" s="299">
        <v>0</v>
      </c>
      <c r="B7" s="300"/>
      <c r="C7" s="300">
        <v>14.03</v>
      </c>
      <c r="D7" s="300"/>
      <c r="E7" s="300">
        <v>0</v>
      </c>
      <c r="F7" s="300"/>
      <c r="G7" s="300">
        <v>0</v>
      </c>
      <c r="H7" s="300"/>
      <c r="I7" s="300">
        <v>14.03</v>
      </c>
      <c r="J7" s="300"/>
      <c r="K7" s="300">
        <v>4.68</v>
      </c>
      <c r="L7" s="300"/>
    </row>
    <row r="8" spans="1:12" ht="13.5">
      <c r="A8" s="299"/>
      <c r="B8" s="300">
        <v>0.96</v>
      </c>
      <c r="C8" s="300"/>
      <c r="D8" s="300">
        <v>25.862399999999997</v>
      </c>
      <c r="E8" s="300"/>
      <c r="F8" s="300">
        <v>0</v>
      </c>
      <c r="G8" s="300"/>
      <c r="H8" s="300">
        <v>0</v>
      </c>
      <c r="I8" s="300"/>
      <c r="J8" s="300">
        <v>25.862399999999997</v>
      </c>
      <c r="K8" s="300"/>
      <c r="L8" s="300">
        <v>8.7456</v>
      </c>
    </row>
    <row r="9" spans="1:12" ht="13.5">
      <c r="A9" s="299">
        <v>1.92</v>
      </c>
      <c r="B9" s="300"/>
      <c r="C9" s="300">
        <v>12.91</v>
      </c>
      <c r="D9" s="300"/>
      <c r="E9" s="300">
        <v>0</v>
      </c>
      <c r="F9" s="300"/>
      <c r="G9" s="300">
        <v>0</v>
      </c>
      <c r="H9" s="300"/>
      <c r="I9" s="300">
        <v>12.91</v>
      </c>
      <c r="J9" s="300"/>
      <c r="K9" s="300">
        <v>4.43</v>
      </c>
      <c r="L9" s="300"/>
    </row>
    <row r="10" spans="1:12" ht="13.5">
      <c r="A10" s="299"/>
      <c r="B10" s="300">
        <v>9.04</v>
      </c>
      <c r="C10" s="300"/>
      <c r="D10" s="300">
        <v>184.1448</v>
      </c>
      <c r="E10" s="300"/>
      <c r="F10" s="300">
        <v>0</v>
      </c>
      <c r="G10" s="300"/>
      <c r="H10" s="300">
        <v>13.48768</v>
      </c>
      <c r="I10" s="300"/>
      <c r="J10" s="300">
        <v>170.65712</v>
      </c>
      <c r="K10" s="300"/>
      <c r="L10" s="300">
        <v>82.8064</v>
      </c>
    </row>
    <row r="11" spans="1:12" ht="13.5">
      <c r="A11" s="299">
        <v>20</v>
      </c>
      <c r="B11" s="300"/>
      <c r="C11" s="300">
        <v>7.46</v>
      </c>
      <c r="D11" s="300"/>
      <c r="E11" s="300">
        <v>0</v>
      </c>
      <c r="F11" s="300"/>
      <c r="G11" s="300">
        <v>1.492</v>
      </c>
      <c r="H11" s="300"/>
      <c r="I11" s="300">
        <v>5.968</v>
      </c>
      <c r="J11" s="300"/>
      <c r="K11" s="300">
        <v>4.73</v>
      </c>
      <c r="L11" s="300"/>
    </row>
    <row r="12" spans="1:12" ht="13.5">
      <c r="A12" s="299"/>
      <c r="B12" s="300">
        <v>3.525</v>
      </c>
      <c r="C12" s="300"/>
      <c r="D12" s="300">
        <v>44.0625</v>
      </c>
      <c r="E12" s="300"/>
      <c r="F12" s="300">
        <v>0</v>
      </c>
      <c r="G12" s="300"/>
      <c r="H12" s="300">
        <v>10.5891</v>
      </c>
      <c r="I12" s="300"/>
      <c r="J12" s="300">
        <v>33.47339999999999</v>
      </c>
      <c r="K12" s="300"/>
      <c r="L12" s="300">
        <v>24.1815</v>
      </c>
    </row>
    <row r="13" spans="1:12" ht="13.5">
      <c r="A13" s="299">
        <v>27.05</v>
      </c>
      <c r="B13" s="300"/>
      <c r="C13" s="300">
        <v>5.04</v>
      </c>
      <c r="D13" s="300"/>
      <c r="E13" s="300">
        <v>0</v>
      </c>
      <c r="F13" s="300"/>
      <c r="G13" s="300">
        <v>1.512</v>
      </c>
      <c r="H13" s="300"/>
      <c r="I13" s="300">
        <v>3.5279999999999996</v>
      </c>
      <c r="J13" s="300"/>
      <c r="K13" s="300">
        <v>2.13</v>
      </c>
      <c r="L13" s="300"/>
    </row>
    <row r="14" spans="1:12" ht="13.5">
      <c r="A14" s="299"/>
      <c r="B14" s="300">
        <v>6.475</v>
      </c>
      <c r="C14" s="300"/>
      <c r="D14" s="300">
        <v>58.857749999999996</v>
      </c>
      <c r="E14" s="300"/>
      <c r="F14" s="300">
        <v>0</v>
      </c>
      <c r="G14" s="300"/>
      <c r="H14" s="300">
        <v>15.03495</v>
      </c>
      <c r="I14" s="300"/>
      <c r="J14" s="300">
        <v>43.822799999999994</v>
      </c>
      <c r="K14" s="300"/>
      <c r="L14" s="300">
        <v>23.89275</v>
      </c>
    </row>
    <row r="15" spans="1:12" ht="13.5">
      <c r="A15" s="299">
        <v>40</v>
      </c>
      <c r="B15" s="300"/>
      <c r="C15" s="300">
        <v>4.05</v>
      </c>
      <c r="D15" s="300"/>
      <c r="E15" s="300">
        <v>0</v>
      </c>
      <c r="F15" s="300"/>
      <c r="G15" s="300">
        <v>0.81</v>
      </c>
      <c r="H15" s="300"/>
      <c r="I15" s="300">
        <v>3.24</v>
      </c>
      <c r="J15" s="300"/>
      <c r="K15" s="300">
        <v>1.56</v>
      </c>
      <c r="L15" s="300"/>
    </row>
    <row r="16" spans="1:12" ht="13.5">
      <c r="A16" s="299"/>
      <c r="B16" s="300">
        <v>6.085</v>
      </c>
      <c r="C16" s="300"/>
      <c r="D16" s="300">
        <v>47.40215</v>
      </c>
      <c r="E16" s="300"/>
      <c r="F16" s="300">
        <v>0</v>
      </c>
      <c r="G16" s="300"/>
      <c r="H16" s="300">
        <v>4.928850000000001</v>
      </c>
      <c r="I16" s="300"/>
      <c r="J16" s="300">
        <v>42.4733</v>
      </c>
      <c r="K16" s="300"/>
      <c r="L16" s="300">
        <v>19.65455</v>
      </c>
    </row>
    <row r="17" spans="1:12" ht="13.5">
      <c r="A17" s="299">
        <v>52.17</v>
      </c>
      <c r="B17" s="300"/>
      <c r="C17" s="300">
        <v>3.74</v>
      </c>
      <c r="D17" s="300"/>
      <c r="E17" s="300">
        <v>0</v>
      </c>
      <c r="F17" s="300"/>
      <c r="G17" s="300">
        <v>0</v>
      </c>
      <c r="H17" s="300"/>
      <c r="I17" s="300">
        <v>3.74</v>
      </c>
      <c r="J17" s="300"/>
      <c r="K17" s="300">
        <v>1.67</v>
      </c>
      <c r="L17" s="300"/>
    </row>
    <row r="18" spans="1:12" ht="13.5">
      <c r="A18" s="299"/>
      <c r="B18" s="300">
        <v>3.915</v>
      </c>
      <c r="C18" s="300"/>
      <c r="D18" s="300">
        <v>34.8435</v>
      </c>
      <c r="E18" s="300"/>
      <c r="F18" s="300">
        <v>0</v>
      </c>
      <c r="G18" s="300"/>
      <c r="H18" s="300">
        <v>0</v>
      </c>
      <c r="I18" s="300"/>
      <c r="J18" s="300">
        <v>34.8435</v>
      </c>
      <c r="K18" s="300"/>
      <c r="L18" s="300">
        <v>17.34345</v>
      </c>
    </row>
    <row r="19" spans="1:12" ht="13.5">
      <c r="A19" s="299">
        <v>60</v>
      </c>
      <c r="B19" s="300"/>
      <c r="C19" s="300">
        <v>5.16</v>
      </c>
      <c r="D19" s="300"/>
      <c r="E19" s="300">
        <v>0</v>
      </c>
      <c r="F19" s="300"/>
      <c r="G19" s="300">
        <v>0</v>
      </c>
      <c r="H19" s="300"/>
      <c r="I19" s="300">
        <v>5.16</v>
      </c>
      <c r="J19" s="300"/>
      <c r="K19" s="300">
        <v>2.76</v>
      </c>
      <c r="L19" s="300"/>
    </row>
    <row r="20" spans="1:12" ht="13.5">
      <c r="A20" s="299"/>
      <c r="B20" s="300">
        <v>10</v>
      </c>
      <c r="C20" s="300"/>
      <c r="D20" s="300">
        <v>80.7</v>
      </c>
      <c r="E20" s="300"/>
      <c r="F20" s="300">
        <v>0</v>
      </c>
      <c r="G20" s="300"/>
      <c r="H20" s="300">
        <v>0</v>
      </c>
      <c r="I20" s="300"/>
      <c r="J20" s="300">
        <v>80.7</v>
      </c>
      <c r="K20" s="300"/>
      <c r="L20" s="300">
        <v>54.2</v>
      </c>
    </row>
    <row r="21" spans="1:12" ht="13.5">
      <c r="A21" s="299">
        <v>80</v>
      </c>
      <c r="B21" s="300"/>
      <c r="C21" s="300">
        <v>2.91</v>
      </c>
      <c r="D21" s="300"/>
      <c r="E21" s="300">
        <v>0</v>
      </c>
      <c r="F21" s="300"/>
      <c r="G21" s="300">
        <v>0</v>
      </c>
      <c r="H21" s="300"/>
      <c r="I21" s="300">
        <v>2.91</v>
      </c>
      <c r="J21" s="300"/>
      <c r="K21" s="300">
        <v>2.66</v>
      </c>
      <c r="L21" s="300"/>
    </row>
    <row r="22" spans="1:12" ht="13.5">
      <c r="A22" s="299"/>
      <c r="B22" s="300">
        <v>10</v>
      </c>
      <c r="C22" s="300"/>
      <c r="D22" s="300">
        <v>45.2</v>
      </c>
      <c r="E22" s="300"/>
      <c r="F22" s="300">
        <v>0.8050000000000002</v>
      </c>
      <c r="G22" s="300"/>
      <c r="H22" s="300">
        <v>1.6100000000000003</v>
      </c>
      <c r="I22" s="300"/>
      <c r="J22" s="300">
        <v>42.785000000000004</v>
      </c>
      <c r="K22" s="300"/>
      <c r="L22" s="300">
        <v>72.4</v>
      </c>
    </row>
    <row r="23" spans="1:12" ht="13.5">
      <c r="A23" s="299">
        <v>100</v>
      </c>
      <c r="B23" s="300"/>
      <c r="C23" s="300">
        <v>1.61</v>
      </c>
      <c r="D23" s="300"/>
      <c r="E23" s="300">
        <v>0.08050000000000002</v>
      </c>
      <c r="F23" s="300"/>
      <c r="G23" s="300">
        <v>0.16100000000000003</v>
      </c>
      <c r="H23" s="300"/>
      <c r="I23" s="300">
        <v>1.3685</v>
      </c>
      <c r="J23" s="300"/>
      <c r="K23" s="300">
        <v>4.58</v>
      </c>
      <c r="L23" s="300"/>
    </row>
    <row r="24" spans="1:12" ht="13.5">
      <c r="A24" s="299"/>
      <c r="B24" s="300">
        <v>10</v>
      </c>
      <c r="C24" s="300"/>
      <c r="D24" s="300">
        <v>18</v>
      </c>
      <c r="E24" s="300"/>
      <c r="F24" s="300">
        <v>1.09</v>
      </c>
      <c r="G24" s="300"/>
      <c r="H24" s="300">
        <v>1.8950000000000002</v>
      </c>
      <c r="I24" s="300"/>
      <c r="J24" s="300">
        <v>15.015</v>
      </c>
      <c r="K24" s="300"/>
      <c r="L24" s="300">
        <v>120.60000000000001</v>
      </c>
    </row>
    <row r="25" spans="1:12" ht="13.5">
      <c r="A25" s="299">
        <v>120</v>
      </c>
      <c r="B25" s="300"/>
      <c r="C25" s="300">
        <v>0.19</v>
      </c>
      <c r="D25" s="300"/>
      <c r="E25" s="300">
        <v>0.028499999999999998</v>
      </c>
      <c r="F25" s="300"/>
      <c r="G25" s="300">
        <v>0.028499999999999998</v>
      </c>
      <c r="H25" s="300"/>
      <c r="I25" s="300">
        <v>0.13299999999999998</v>
      </c>
      <c r="J25" s="300"/>
      <c r="K25" s="300">
        <v>7.48</v>
      </c>
      <c r="L25" s="300"/>
    </row>
    <row r="26" spans="1:12" ht="13.5">
      <c r="A26" s="299"/>
      <c r="B26" s="300">
        <v>10</v>
      </c>
      <c r="C26" s="300"/>
      <c r="D26" s="300">
        <v>39.9</v>
      </c>
      <c r="E26" s="300"/>
      <c r="F26" s="300">
        <v>7.885</v>
      </c>
      <c r="G26" s="300"/>
      <c r="H26" s="300">
        <v>11.684999999999999</v>
      </c>
      <c r="I26" s="300"/>
      <c r="J26" s="300">
        <v>20.329999999999995</v>
      </c>
      <c r="K26" s="300"/>
      <c r="L26" s="300">
        <v>96.8</v>
      </c>
    </row>
    <row r="27" spans="1:12" ht="13.5">
      <c r="A27" s="299">
        <v>140</v>
      </c>
      <c r="B27" s="300"/>
      <c r="C27" s="300">
        <v>3.8</v>
      </c>
      <c r="D27" s="300"/>
      <c r="E27" s="300">
        <v>0.76</v>
      </c>
      <c r="F27" s="300"/>
      <c r="G27" s="300">
        <v>1.14</v>
      </c>
      <c r="H27" s="300"/>
      <c r="I27" s="300">
        <v>1.8999999999999997</v>
      </c>
      <c r="J27" s="300"/>
      <c r="K27" s="300">
        <v>2.2</v>
      </c>
      <c r="L27" s="300"/>
    </row>
    <row r="28" spans="1:12" ht="13.5">
      <c r="A28" s="299"/>
      <c r="B28" s="300">
        <v>10</v>
      </c>
      <c r="C28" s="300"/>
      <c r="D28" s="300">
        <v>185.5</v>
      </c>
      <c r="E28" s="300"/>
      <c r="F28" s="300">
        <v>29.725</v>
      </c>
      <c r="G28" s="300"/>
      <c r="H28" s="300">
        <v>33.525</v>
      </c>
      <c r="I28" s="300"/>
      <c r="J28" s="300">
        <v>122.25</v>
      </c>
      <c r="K28" s="300"/>
      <c r="L28" s="300">
        <v>71.2</v>
      </c>
    </row>
    <row r="29" spans="1:12" ht="13.5">
      <c r="A29" s="299">
        <v>160</v>
      </c>
      <c r="B29" s="300"/>
      <c r="C29" s="300">
        <v>14.75</v>
      </c>
      <c r="D29" s="300"/>
      <c r="E29" s="300">
        <v>2.2125</v>
      </c>
      <c r="F29" s="300"/>
      <c r="G29" s="300">
        <v>2.2125</v>
      </c>
      <c r="H29" s="300"/>
      <c r="I29" s="300">
        <v>10.325</v>
      </c>
      <c r="J29" s="300"/>
      <c r="K29" s="300">
        <v>4.92</v>
      </c>
      <c r="L29" s="300"/>
    </row>
    <row r="30" spans="1:12" ht="13.5">
      <c r="A30" s="299"/>
      <c r="B30" s="300">
        <v>10</v>
      </c>
      <c r="C30" s="300"/>
      <c r="D30" s="300">
        <v>206.29999999999998</v>
      </c>
      <c r="E30" s="300"/>
      <c r="F30" s="300">
        <v>25.064999999999998</v>
      </c>
      <c r="G30" s="300"/>
      <c r="H30" s="300">
        <v>30.945</v>
      </c>
      <c r="I30" s="300"/>
      <c r="J30" s="300">
        <v>150.29</v>
      </c>
      <c r="K30" s="300"/>
      <c r="L30" s="300">
        <v>72.6</v>
      </c>
    </row>
    <row r="31" spans="1:12" ht="13.5">
      <c r="A31" s="299">
        <v>180</v>
      </c>
      <c r="B31" s="300"/>
      <c r="C31" s="300">
        <v>5.88</v>
      </c>
      <c r="D31" s="300"/>
      <c r="E31" s="300">
        <v>0.294</v>
      </c>
      <c r="F31" s="300"/>
      <c r="G31" s="300">
        <v>0.882</v>
      </c>
      <c r="H31" s="300"/>
      <c r="I31" s="300">
        <v>4.704</v>
      </c>
      <c r="J31" s="300"/>
      <c r="K31" s="300">
        <v>2.34</v>
      </c>
      <c r="L31" s="300"/>
    </row>
    <row r="32" spans="1:12" ht="13.5">
      <c r="A32" s="299"/>
      <c r="B32" s="300">
        <v>10</v>
      </c>
      <c r="C32" s="300"/>
      <c r="D32" s="300">
        <v>79.1</v>
      </c>
      <c r="E32" s="300"/>
      <c r="F32" s="300">
        <v>2.94</v>
      </c>
      <c r="G32" s="300"/>
      <c r="H32" s="300">
        <v>8.82</v>
      </c>
      <c r="I32" s="300"/>
      <c r="J32" s="300">
        <v>67.34</v>
      </c>
      <c r="K32" s="300"/>
      <c r="L32" s="300">
        <v>47.599999999999994</v>
      </c>
    </row>
    <row r="33" spans="1:12" ht="13.5">
      <c r="A33" s="299">
        <v>200</v>
      </c>
      <c r="B33" s="300"/>
      <c r="C33" s="300">
        <v>2.03</v>
      </c>
      <c r="D33" s="300"/>
      <c r="E33" s="300">
        <v>0</v>
      </c>
      <c r="F33" s="300"/>
      <c r="G33" s="300">
        <v>0</v>
      </c>
      <c r="H33" s="300"/>
      <c r="I33" s="300">
        <v>2.03</v>
      </c>
      <c r="J33" s="300"/>
      <c r="K33" s="300">
        <v>2.42</v>
      </c>
      <c r="L33" s="300"/>
    </row>
    <row r="34" spans="1:12" ht="13.5">
      <c r="A34" s="299"/>
      <c r="B34" s="300">
        <v>10</v>
      </c>
      <c r="C34" s="300"/>
      <c r="D34" s="300">
        <v>75.7</v>
      </c>
      <c r="E34" s="300"/>
      <c r="F34" s="300">
        <v>0</v>
      </c>
      <c r="G34" s="300"/>
      <c r="H34" s="300">
        <v>0</v>
      </c>
      <c r="I34" s="300"/>
      <c r="J34" s="300">
        <v>75.7</v>
      </c>
      <c r="K34" s="300"/>
      <c r="L34" s="300">
        <v>53.599999999999994</v>
      </c>
    </row>
    <row r="35" spans="1:12" ht="13.5">
      <c r="A35" s="299">
        <v>220</v>
      </c>
      <c r="B35" s="300"/>
      <c r="C35" s="300">
        <v>5.54</v>
      </c>
      <c r="D35" s="300"/>
      <c r="E35" s="300">
        <v>0</v>
      </c>
      <c r="F35" s="300"/>
      <c r="G35" s="300">
        <v>0</v>
      </c>
      <c r="H35" s="300"/>
      <c r="I35" s="300">
        <v>5.54</v>
      </c>
      <c r="J35" s="300"/>
      <c r="K35" s="300">
        <v>2.94</v>
      </c>
      <c r="L35" s="300"/>
    </row>
    <row r="36" spans="1:19" ht="13.5">
      <c r="A36" s="299"/>
      <c r="B36" s="300">
        <v>7.5</v>
      </c>
      <c r="C36" s="300"/>
      <c r="D36" s="300">
        <v>63.824999999999996</v>
      </c>
      <c r="E36" s="300"/>
      <c r="F36" s="300">
        <v>0</v>
      </c>
      <c r="G36" s="300"/>
      <c r="H36" s="300">
        <v>0</v>
      </c>
      <c r="I36" s="300"/>
      <c r="J36" s="300">
        <v>63.824999999999996</v>
      </c>
      <c r="K36" s="300"/>
      <c r="L36" s="300">
        <v>41.4</v>
      </c>
      <c r="O36" s="543"/>
      <c r="P36" s="543"/>
      <c r="R36" s="543"/>
      <c r="S36" s="543"/>
    </row>
    <row r="37" spans="1:14" ht="13.5">
      <c r="A37" s="299">
        <v>235</v>
      </c>
      <c r="B37" s="300"/>
      <c r="C37" s="300">
        <v>2.97</v>
      </c>
      <c r="D37" s="300"/>
      <c r="E37" s="300">
        <v>0</v>
      </c>
      <c r="F37" s="300"/>
      <c r="G37" s="300">
        <v>0</v>
      </c>
      <c r="H37" s="300"/>
      <c r="I37" s="300">
        <v>2.97</v>
      </c>
      <c r="J37" s="300"/>
      <c r="K37" s="300">
        <v>2.58</v>
      </c>
      <c r="L37" s="300"/>
      <c r="N37" s="302"/>
    </row>
    <row r="38" spans="1:12" ht="20.25" customHeight="1">
      <c r="A38" s="303" t="s">
        <v>23</v>
      </c>
      <c r="B38" s="304"/>
      <c r="C38" s="298" t="s">
        <v>416</v>
      </c>
      <c r="D38" s="305">
        <v>1189.3981</v>
      </c>
      <c r="E38" s="298" t="s">
        <v>417</v>
      </c>
      <c r="F38" s="305">
        <v>67.50999999999999</v>
      </c>
      <c r="G38" s="298" t="s">
        <v>418</v>
      </c>
      <c r="H38" s="305">
        <v>132.52058</v>
      </c>
      <c r="I38" s="298" t="s">
        <v>419</v>
      </c>
      <c r="J38" s="305">
        <v>989.3675200000001</v>
      </c>
      <c r="K38" s="306" t="s">
        <v>420</v>
      </c>
      <c r="L38" s="305">
        <v>807.02425</v>
      </c>
    </row>
  </sheetData>
  <sheetProtection/>
  <mergeCells count="10">
    <mergeCell ref="O36:P36"/>
    <mergeCell ref="R36:S36"/>
    <mergeCell ref="A4:L4"/>
    <mergeCell ref="A5:A6"/>
    <mergeCell ref="B5:B6"/>
    <mergeCell ref="C5:D5"/>
    <mergeCell ref="E5:F5"/>
    <mergeCell ref="G5:H5"/>
    <mergeCell ref="I5:J5"/>
    <mergeCell ref="K5:L5"/>
  </mergeCells>
  <printOptions/>
  <pageMargins left="0.3937007874015748" right="0.3937007874015748" top="0.7874015748031497" bottom="1.1811023622047245" header="0" footer="0"/>
  <pageSetup fitToHeight="0" fitToWidth="1"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showGridLines="0" view="pageBreakPreview" zoomScale="55" zoomScaleNormal="55" zoomScaleSheetLayoutView="55" zoomScalePageLayoutView="0" workbookViewId="0" topLeftCell="A7">
      <selection activeCell="D28" sqref="D28"/>
    </sheetView>
  </sheetViews>
  <sheetFormatPr defaultColWidth="9.140625" defaultRowHeight="12.75"/>
  <cols>
    <col min="1" max="1" width="15.140625" style="312" customWidth="1"/>
    <col min="2" max="3" width="21.00390625" style="312" customWidth="1"/>
    <col min="4" max="5" width="15.140625" style="312" customWidth="1"/>
    <col min="6" max="6" width="18.8515625" style="312" bestFit="1" customWidth="1"/>
    <col min="7" max="7" width="15.140625" style="312" customWidth="1"/>
    <col min="8" max="8" width="19.140625" style="312" bestFit="1" customWidth="1"/>
    <col min="9" max="9" width="16.28125" style="312" customWidth="1"/>
    <col min="10" max="10" width="21.00390625" style="312" customWidth="1"/>
    <col min="11" max="14" width="23.421875" style="312" customWidth="1"/>
    <col min="15" max="15" width="20.140625" style="312" customWidth="1"/>
    <col min="16" max="16" width="27.140625" style="312" customWidth="1"/>
    <col min="17" max="17" width="18.00390625" style="312" customWidth="1"/>
    <col min="18" max="18" width="18.28125" style="312" customWidth="1"/>
    <col min="19" max="19" width="23.140625" style="312" customWidth="1"/>
    <col min="20" max="20" width="19.00390625" style="312" customWidth="1"/>
    <col min="21" max="21" width="29.140625" style="312" customWidth="1"/>
    <col min="22" max="22" width="28.421875" style="312" customWidth="1"/>
    <col min="23" max="24" width="9.140625" style="312" customWidth="1"/>
    <col min="25" max="25" width="12.140625" style="312" bestFit="1" customWidth="1"/>
    <col min="26" max="16384" width="9.140625" style="312" customWidth="1"/>
  </cols>
  <sheetData>
    <row r="1" spans="1:20" ht="22.5" customHeight="1">
      <c r="A1" s="309" t="s">
        <v>546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1"/>
    </row>
    <row r="2" spans="1:20" ht="22.5" customHeight="1">
      <c r="A2" s="313" t="s">
        <v>547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4"/>
    </row>
    <row r="3" spans="2:20" ht="22.5" customHeight="1"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4"/>
    </row>
    <row r="4" spans="2:20" ht="22.5" customHeight="1" thickBot="1">
      <c r="B4" s="315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4"/>
    </row>
    <row r="5" spans="1:20" ht="22.5" customHeight="1" thickBot="1">
      <c r="A5" s="579" t="s">
        <v>450</v>
      </c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1"/>
      <c r="T5" s="314"/>
    </row>
    <row r="6" spans="1:20" ht="22.5" customHeight="1">
      <c r="A6" s="582" t="s">
        <v>451</v>
      </c>
      <c r="B6" s="577" t="s">
        <v>452</v>
      </c>
      <c r="C6" s="575" t="s">
        <v>453</v>
      </c>
      <c r="D6" s="316" t="s">
        <v>205</v>
      </c>
      <c r="E6" s="316" t="s">
        <v>454</v>
      </c>
      <c r="F6" s="564" t="s">
        <v>455</v>
      </c>
      <c r="G6" s="564" t="s">
        <v>456</v>
      </c>
      <c r="H6" s="564" t="s">
        <v>457</v>
      </c>
      <c r="I6" s="564" t="s">
        <v>456</v>
      </c>
      <c r="J6" s="564" t="s">
        <v>458</v>
      </c>
      <c r="K6" s="564" t="s">
        <v>459</v>
      </c>
      <c r="L6" s="564" t="s">
        <v>460</v>
      </c>
      <c r="M6" s="564" t="s">
        <v>461</v>
      </c>
      <c r="N6" s="564" t="s">
        <v>462</v>
      </c>
      <c r="O6" s="564" t="s">
        <v>463</v>
      </c>
      <c r="P6" s="564" t="s">
        <v>464</v>
      </c>
      <c r="Q6" s="564" t="s">
        <v>465</v>
      </c>
      <c r="R6" s="564" t="s">
        <v>466</v>
      </c>
      <c r="S6" s="564" t="s">
        <v>467</v>
      </c>
      <c r="T6" s="317"/>
    </row>
    <row r="7" spans="1:20" ht="22.5" customHeight="1" thickBot="1">
      <c r="A7" s="583"/>
      <c r="B7" s="578"/>
      <c r="C7" s="576"/>
      <c r="D7" s="318" t="s">
        <v>468</v>
      </c>
      <c r="E7" s="318" t="s">
        <v>468</v>
      </c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317"/>
    </row>
    <row r="8" spans="1:20" ht="22.5" customHeight="1">
      <c r="A8" s="584" t="s">
        <v>494</v>
      </c>
      <c r="B8" s="468">
        <v>1</v>
      </c>
      <c r="C8" s="468">
        <v>2</v>
      </c>
      <c r="D8" s="319">
        <v>7</v>
      </c>
      <c r="E8" s="466">
        <v>0.4</v>
      </c>
      <c r="F8" s="319" t="s">
        <v>469</v>
      </c>
      <c r="G8" s="319">
        <v>7</v>
      </c>
      <c r="H8" s="319" t="s">
        <v>470</v>
      </c>
      <c r="I8" s="319">
        <v>0</v>
      </c>
      <c r="J8" s="320">
        <v>1.08</v>
      </c>
      <c r="K8" s="320">
        <v>7.5600000000000005</v>
      </c>
      <c r="L8" s="466">
        <v>1.03</v>
      </c>
      <c r="M8" s="319">
        <v>7.79</v>
      </c>
      <c r="N8" s="319">
        <v>0.98</v>
      </c>
      <c r="O8" s="319">
        <v>1.08</v>
      </c>
      <c r="P8" s="319">
        <v>6.14</v>
      </c>
      <c r="Q8" s="319">
        <v>1.08</v>
      </c>
      <c r="R8" s="319">
        <v>0.05</v>
      </c>
      <c r="S8" s="319">
        <v>0.38</v>
      </c>
      <c r="T8" s="321"/>
    </row>
    <row r="9" spans="1:20" ht="22.5" customHeight="1">
      <c r="A9" s="585"/>
      <c r="B9" s="469">
        <v>2</v>
      </c>
      <c r="C9" s="469">
        <v>3</v>
      </c>
      <c r="D9" s="322">
        <v>25</v>
      </c>
      <c r="E9" s="467">
        <v>0.4</v>
      </c>
      <c r="F9" s="324" t="s">
        <v>469</v>
      </c>
      <c r="G9" s="324">
        <v>25</v>
      </c>
      <c r="H9" s="324" t="s">
        <v>470</v>
      </c>
      <c r="I9" s="324">
        <v>0</v>
      </c>
      <c r="J9" s="325">
        <v>1.08</v>
      </c>
      <c r="K9" s="324">
        <v>27</v>
      </c>
      <c r="L9" s="467">
        <v>1.03</v>
      </c>
      <c r="M9" s="324">
        <v>27.81</v>
      </c>
      <c r="N9" s="324">
        <v>0.98</v>
      </c>
      <c r="O9" s="324">
        <v>1.08</v>
      </c>
      <c r="P9" s="324">
        <v>21.94</v>
      </c>
      <c r="Q9" s="324">
        <v>1.08</v>
      </c>
      <c r="R9" s="324">
        <v>0.05</v>
      </c>
      <c r="S9" s="324">
        <v>1.35</v>
      </c>
      <c r="T9" s="321"/>
    </row>
    <row r="10" spans="1:20" ht="22.5" customHeight="1">
      <c r="A10" s="585"/>
      <c r="B10" s="469">
        <v>3</v>
      </c>
      <c r="C10" s="469">
        <v>4</v>
      </c>
      <c r="D10" s="322">
        <v>45</v>
      </c>
      <c r="E10" s="467">
        <v>0.6</v>
      </c>
      <c r="F10" s="324" t="s">
        <v>469</v>
      </c>
      <c r="G10" s="324">
        <v>45</v>
      </c>
      <c r="H10" s="324" t="s">
        <v>470</v>
      </c>
      <c r="I10" s="324">
        <v>0</v>
      </c>
      <c r="J10" s="325">
        <v>1.42</v>
      </c>
      <c r="K10" s="324">
        <v>63.9</v>
      </c>
      <c r="L10" s="467">
        <v>1.03</v>
      </c>
      <c r="M10" s="324">
        <v>65.82</v>
      </c>
      <c r="N10" s="324">
        <v>0.98</v>
      </c>
      <c r="O10" s="324">
        <v>1.42</v>
      </c>
      <c r="P10" s="324">
        <v>44.3</v>
      </c>
      <c r="Q10" s="324">
        <v>1.42</v>
      </c>
      <c r="R10" s="324">
        <v>0.05</v>
      </c>
      <c r="S10" s="324">
        <v>3.2</v>
      </c>
      <c r="T10" s="321"/>
    </row>
    <row r="11" spans="1:20" ht="22.5" customHeight="1">
      <c r="A11" s="585"/>
      <c r="B11" s="469">
        <v>4</v>
      </c>
      <c r="C11" s="469">
        <v>5</v>
      </c>
      <c r="D11" s="322">
        <v>45</v>
      </c>
      <c r="E11" s="467">
        <v>0.6</v>
      </c>
      <c r="F11" s="324" t="s">
        <v>469</v>
      </c>
      <c r="G11" s="324">
        <v>45</v>
      </c>
      <c r="H11" s="324" t="s">
        <v>470</v>
      </c>
      <c r="I11" s="324">
        <v>0</v>
      </c>
      <c r="J11" s="325">
        <v>1.42</v>
      </c>
      <c r="K11" s="324">
        <v>63.9</v>
      </c>
      <c r="L11" s="467">
        <v>1.03</v>
      </c>
      <c r="M11" s="324">
        <v>65.82</v>
      </c>
      <c r="N11" s="324">
        <v>0.98</v>
      </c>
      <c r="O11" s="324">
        <v>1.42</v>
      </c>
      <c r="P11" s="324">
        <v>44.3</v>
      </c>
      <c r="Q11" s="324">
        <v>1.42</v>
      </c>
      <c r="R11" s="324">
        <v>0.05</v>
      </c>
      <c r="S11" s="324">
        <v>3.2</v>
      </c>
      <c r="T11" s="321"/>
    </row>
    <row r="12" spans="1:20" ht="22.5" customHeight="1">
      <c r="A12" s="585"/>
      <c r="B12" s="469">
        <v>5</v>
      </c>
      <c r="C12" s="469">
        <v>6</v>
      </c>
      <c r="D12" s="322">
        <v>45</v>
      </c>
      <c r="E12" s="467">
        <v>0.6</v>
      </c>
      <c r="F12" s="324" t="s">
        <v>469</v>
      </c>
      <c r="G12" s="324">
        <v>45</v>
      </c>
      <c r="H12" s="324" t="s">
        <v>470</v>
      </c>
      <c r="I12" s="324">
        <v>0</v>
      </c>
      <c r="J12" s="325">
        <v>1.42</v>
      </c>
      <c r="K12" s="324">
        <v>63.9</v>
      </c>
      <c r="L12" s="467">
        <v>1.03</v>
      </c>
      <c r="M12" s="324">
        <v>65.82</v>
      </c>
      <c r="N12" s="324">
        <v>0.98</v>
      </c>
      <c r="O12" s="324">
        <v>1.42</v>
      </c>
      <c r="P12" s="324">
        <v>44.3</v>
      </c>
      <c r="Q12" s="324">
        <v>1.42</v>
      </c>
      <c r="R12" s="324">
        <v>0.05</v>
      </c>
      <c r="S12" s="324">
        <v>3.2</v>
      </c>
      <c r="T12" s="321"/>
    </row>
    <row r="13" spans="1:20" ht="22.5" customHeight="1">
      <c r="A13" s="585"/>
      <c r="B13" s="469">
        <v>6</v>
      </c>
      <c r="C13" s="469">
        <v>7</v>
      </c>
      <c r="D13" s="322">
        <v>45</v>
      </c>
      <c r="E13" s="467">
        <v>0.6</v>
      </c>
      <c r="F13" s="324" t="s">
        <v>469</v>
      </c>
      <c r="G13" s="324">
        <v>45</v>
      </c>
      <c r="H13" s="324" t="s">
        <v>470</v>
      </c>
      <c r="I13" s="324">
        <v>0</v>
      </c>
      <c r="J13" s="325">
        <v>1.42</v>
      </c>
      <c r="K13" s="324">
        <v>63.9</v>
      </c>
      <c r="L13" s="467">
        <v>1.03</v>
      </c>
      <c r="M13" s="324">
        <v>65.82</v>
      </c>
      <c r="N13" s="324">
        <v>0.98</v>
      </c>
      <c r="O13" s="324">
        <v>1.42</v>
      </c>
      <c r="P13" s="324">
        <v>44.3</v>
      </c>
      <c r="Q13" s="324">
        <v>1.42</v>
      </c>
      <c r="R13" s="324">
        <v>0.05</v>
      </c>
      <c r="S13" s="324">
        <v>3.2</v>
      </c>
      <c r="T13" s="321"/>
    </row>
    <row r="14" spans="1:20" ht="22.5" customHeight="1">
      <c r="A14" s="585"/>
      <c r="B14" s="469">
        <v>7</v>
      </c>
      <c r="C14" s="469" t="s">
        <v>522</v>
      </c>
      <c r="D14" s="322">
        <v>5</v>
      </c>
      <c r="E14" s="467">
        <v>0.6</v>
      </c>
      <c r="F14" s="324" t="s">
        <v>469</v>
      </c>
      <c r="G14" s="324">
        <v>5</v>
      </c>
      <c r="H14" s="324" t="s">
        <v>470</v>
      </c>
      <c r="I14" s="324">
        <v>0</v>
      </c>
      <c r="J14" s="325">
        <v>1.42</v>
      </c>
      <c r="K14" s="324">
        <v>7.1</v>
      </c>
      <c r="L14" s="467">
        <v>1.03</v>
      </c>
      <c r="M14" s="324">
        <v>7.31</v>
      </c>
      <c r="N14" s="324">
        <v>0.98</v>
      </c>
      <c r="O14" s="324">
        <v>1.42</v>
      </c>
      <c r="P14" s="324">
        <v>4.92</v>
      </c>
      <c r="Q14" s="324">
        <v>1.42</v>
      </c>
      <c r="R14" s="324">
        <v>0.05</v>
      </c>
      <c r="S14" s="324">
        <v>0.36</v>
      </c>
      <c r="T14" s="321"/>
    </row>
    <row r="15" spans="1:20" ht="22.5" customHeight="1" thickBot="1">
      <c r="A15" s="465"/>
      <c r="B15" s="470"/>
      <c r="C15" s="470"/>
      <c r="D15" s="327"/>
      <c r="E15" s="471"/>
      <c r="F15" s="327"/>
      <c r="G15" s="327"/>
      <c r="H15" s="327"/>
      <c r="I15" s="327"/>
      <c r="J15" s="329"/>
      <c r="K15" s="327"/>
      <c r="L15" s="471"/>
      <c r="M15" s="327"/>
      <c r="N15" s="327"/>
      <c r="O15" s="327"/>
      <c r="P15" s="327"/>
      <c r="Q15" s="327"/>
      <c r="R15" s="327"/>
      <c r="S15" s="327"/>
      <c r="T15" s="321"/>
    </row>
    <row r="16" spans="1:20" ht="22.5" customHeight="1">
      <c r="A16" s="553" t="s">
        <v>495</v>
      </c>
      <c r="B16" s="469">
        <v>8</v>
      </c>
      <c r="C16" s="469">
        <v>9</v>
      </c>
      <c r="D16" s="322">
        <v>26</v>
      </c>
      <c r="E16" s="467">
        <v>0.4</v>
      </c>
      <c r="F16" s="330" t="s">
        <v>469</v>
      </c>
      <c r="G16" s="324">
        <v>26</v>
      </c>
      <c r="H16" s="324" t="s">
        <v>470</v>
      </c>
      <c r="I16" s="324">
        <v>0</v>
      </c>
      <c r="J16" s="325">
        <v>1.08</v>
      </c>
      <c r="K16" s="324">
        <v>28.080000000000002</v>
      </c>
      <c r="L16" s="467">
        <v>1.03</v>
      </c>
      <c r="M16" s="324">
        <v>28.92</v>
      </c>
      <c r="N16" s="324">
        <v>0.98</v>
      </c>
      <c r="O16" s="324">
        <v>1.08</v>
      </c>
      <c r="P16" s="322">
        <v>22.81</v>
      </c>
      <c r="Q16" s="324">
        <v>1.08</v>
      </c>
      <c r="R16" s="324">
        <v>0.05</v>
      </c>
      <c r="S16" s="324">
        <v>1.4</v>
      </c>
      <c r="T16" s="321"/>
    </row>
    <row r="17" spans="1:20" ht="22.5" customHeight="1">
      <c r="A17" s="553"/>
      <c r="B17" s="469">
        <v>10</v>
      </c>
      <c r="C17" s="469">
        <v>11</v>
      </c>
      <c r="D17" s="322">
        <v>46</v>
      </c>
      <c r="E17" s="467">
        <v>0.6</v>
      </c>
      <c r="F17" s="330" t="s">
        <v>469</v>
      </c>
      <c r="G17" s="324">
        <v>46</v>
      </c>
      <c r="H17" s="324" t="s">
        <v>470</v>
      </c>
      <c r="I17" s="324">
        <v>0</v>
      </c>
      <c r="J17" s="325">
        <v>1.42</v>
      </c>
      <c r="K17" s="324">
        <v>65.32</v>
      </c>
      <c r="L17" s="467">
        <v>1.03</v>
      </c>
      <c r="M17" s="324">
        <v>67.28</v>
      </c>
      <c r="N17" s="324">
        <v>0.98</v>
      </c>
      <c r="O17" s="324">
        <v>1.42</v>
      </c>
      <c r="P17" s="324">
        <v>45.28</v>
      </c>
      <c r="Q17" s="324">
        <v>1.42</v>
      </c>
      <c r="R17" s="324">
        <v>0.05</v>
      </c>
      <c r="S17" s="324">
        <v>3.27</v>
      </c>
      <c r="T17" s="321"/>
    </row>
    <row r="18" spans="1:20" ht="22.5" customHeight="1">
      <c r="A18" s="553"/>
      <c r="B18" s="469">
        <v>12</v>
      </c>
      <c r="C18" s="469">
        <v>13</v>
      </c>
      <c r="D18" s="322">
        <v>35</v>
      </c>
      <c r="E18" s="467">
        <v>0.6</v>
      </c>
      <c r="F18" s="330" t="s">
        <v>469</v>
      </c>
      <c r="G18" s="324">
        <v>35</v>
      </c>
      <c r="H18" s="324" t="s">
        <v>470</v>
      </c>
      <c r="I18" s="324">
        <v>0</v>
      </c>
      <c r="J18" s="325">
        <v>1.42</v>
      </c>
      <c r="K18" s="324">
        <v>49.699999999999996</v>
      </c>
      <c r="L18" s="467">
        <v>1.03</v>
      </c>
      <c r="M18" s="324">
        <v>51.19</v>
      </c>
      <c r="N18" s="324">
        <v>0.98</v>
      </c>
      <c r="O18" s="324">
        <v>1.42</v>
      </c>
      <c r="P18" s="324">
        <v>34.46</v>
      </c>
      <c r="Q18" s="324">
        <v>1.42</v>
      </c>
      <c r="R18" s="324">
        <v>0.05</v>
      </c>
      <c r="S18" s="324">
        <v>2.49</v>
      </c>
      <c r="T18" s="321"/>
    </row>
    <row r="19" spans="1:20" ht="22.5" customHeight="1">
      <c r="A19" s="553"/>
      <c r="B19" s="469">
        <v>13</v>
      </c>
      <c r="C19" s="469">
        <v>14</v>
      </c>
      <c r="D19" s="322">
        <v>35</v>
      </c>
      <c r="E19" s="467">
        <v>0.6</v>
      </c>
      <c r="F19" s="330" t="s">
        <v>469</v>
      </c>
      <c r="G19" s="324">
        <v>35</v>
      </c>
      <c r="H19" s="324" t="s">
        <v>470</v>
      </c>
      <c r="I19" s="324">
        <v>0</v>
      </c>
      <c r="J19" s="325">
        <v>1.42</v>
      </c>
      <c r="K19" s="324">
        <v>49.699999999999996</v>
      </c>
      <c r="L19" s="467">
        <v>1.03</v>
      </c>
      <c r="M19" s="324">
        <v>51.19</v>
      </c>
      <c r="N19" s="324">
        <v>0.98</v>
      </c>
      <c r="O19" s="324">
        <v>1.42</v>
      </c>
      <c r="P19" s="324">
        <v>34.46</v>
      </c>
      <c r="Q19" s="324">
        <v>1.42</v>
      </c>
      <c r="R19" s="324">
        <v>0.05</v>
      </c>
      <c r="S19" s="324">
        <v>2.49</v>
      </c>
      <c r="T19" s="321"/>
    </row>
    <row r="20" spans="1:20" ht="22.5" customHeight="1">
      <c r="A20" s="553"/>
      <c r="B20" s="469">
        <v>14</v>
      </c>
      <c r="C20" s="469">
        <v>15</v>
      </c>
      <c r="D20" s="322">
        <v>42</v>
      </c>
      <c r="E20" s="467">
        <v>0.6</v>
      </c>
      <c r="F20" s="330" t="s">
        <v>469</v>
      </c>
      <c r="G20" s="324">
        <v>42</v>
      </c>
      <c r="H20" s="324" t="s">
        <v>470</v>
      </c>
      <c r="I20" s="324">
        <v>0</v>
      </c>
      <c r="J20" s="325">
        <v>1.42</v>
      </c>
      <c r="K20" s="324">
        <v>59.64</v>
      </c>
      <c r="L20" s="467">
        <v>1.03</v>
      </c>
      <c r="M20" s="324">
        <v>61.43</v>
      </c>
      <c r="N20" s="324">
        <v>0.98</v>
      </c>
      <c r="O20" s="324">
        <v>1.42</v>
      </c>
      <c r="P20" s="324">
        <v>41.35</v>
      </c>
      <c r="Q20" s="324">
        <v>1.42</v>
      </c>
      <c r="R20" s="324">
        <v>0.05</v>
      </c>
      <c r="S20" s="324">
        <v>2.98</v>
      </c>
      <c r="T20" s="321"/>
    </row>
    <row r="21" spans="1:20" ht="22.5" customHeight="1">
      <c r="A21" s="553"/>
      <c r="B21" s="469">
        <v>15</v>
      </c>
      <c r="C21" s="469" t="s">
        <v>523</v>
      </c>
      <c r="D21" s="322">
        <v>5</v>
      </c>
      <c r="E21" s="467">
        <v>0.6</v>
      </c>
      <c r="F21" s="330" t="s">
        <v>469</v>
      </c>
      <c r="G21" s="324">
        <v>5</v>
      </c>
      <c r="H21" s="324" t="s">
        <v>470</v>
      </c>
      <c r="I21" s="324">
        <v>0</v>
      </c>
      <c r="J21" s="325">
        <v>1.42</v>
      </c>
      <c r="K21" s="324">
        <v>7.1</v>
      </c>
      <c r="L21" s="467">
        <v>1.03</v>
      </c>
      <c r="M21" s="324">
        <v>7.31</v>
      </c>
      <c r="N21" s="324">
        <v>0.98</v>
      </c>
      <c r="O21" s="324">
        <v>1.42</v>
      </c>
      <c r="P21" s="324">
        <v>4.92</v>
      </c>
      <c r="Q21" s="324">
        <v>1.42</v>
      </c>
      <c r="R21" s="324">
        <v>0.05</v>
      </c>
      <c r="S21" s="324">
        <v>0.36</v>
      </c>
      <c r="T21" s="321"/>
    </row>
    <row r="22" spans="1:20" ht="22.5" customHeight="1" thickBot="1">
      <c r="A22" s="554"/>
      <c r="B22" s="326"/>
      <c r="C22" s="326"/>
      <c r="D22" s="322"/>
      <c r="E22" s="323"/>
      <c r="F22" s="330"/>
      <c r="G22" s="327"/>
      <c r="H22" s="324"/>
      <c r="I22" s="324"/>
      <c r="J22" s="329"/>
      <c r="K22" s="327"/>
      <c r="L22" s="328"/>
      <c r="M22" s="327"/>
      <c r="N22" s="324"/>
      <c r="O22" s="324"/>
      <c r="P22" s="322"/>
      <c r="Q22" s="324"/>
      <c r="R22" s="324"/>
      <c r="S22" s="324"/>
      <c r="T22" s="321"/>
    </row>
    <row r="23" spans="1:20" ht="22.5" customHeight="1" thickBot="1">
      <c r="A23" s="551" t="s">
        <v>471</v>
      </c>
      <c r="B23" s="552"/>
      <c r="C23" s="332"/>
      <c r="D23" s="333">
        <v>406</v>
      </c>
      <c r="E23" s="334"/>
      <c r="F23" s="334" t="s">
        <v>472</v>
      </c>
      <c r="G23" s="335">
        <v>406</v>
      </c>
      <c r="H23" s="331" t="s">
        <v>473</v>
      </c>
      <c r="I23" s="333">
        <v>0</v>
      </c>
      <c r="J23" s="336"/>
      <c r="K23" s="337" t="s">
        <v>474</v>
      </c>
      <c r="L23" s="338"/>
      <c r="M23" s="339">
        <v>573.5099999999999</v>
      </c>
      <c r="N23" s="340" t="s">
        <v>475</v>
      </c>
      <c r="O23" s="332"/>
      <c r="P23" s="339">
        <v>393.47999999999996</v>
      </c>
      <c r="Q23" s="556" t="s">
        <v>476</v>
      </c>
      <c r="R23" s="557"/>
      <c r="S23" s="341">
        <v>27.88</v>
      </c>
      <c r="T23" s="342"/>
    </row>
    <row r="24" spans="1:20" ht="22.5" customHeight="1">
      <c r="A24" s="343"/>
      <c r="D24" s="344"/>
      <c r="S24" s="345"/>
      <c r="T24" s="343"/>
    </row>
    <row r="25" spans="1:20" ht="22.5" customHeight="1" thickBot="1">
      <c r="A25" s="343"/>
      <c r="B25" s="346"/>
      <c r="C25" s="346"/>
      <c r="S25" s="343"/>
      <c r="T25" s="343"/>
    </row>
    <row r="26" spans="1:19" ht="22.5" customHeight="1" thickBot="1">
      <c r="A26" s="343"/>
      <c r="B26" s="551" t="s">
        <v>477</v>
      </c>
      <c r="C26" s="552"/>
      <c r="D26" s="555"/>
      <c r="F26" s="551" t="s">
        <v>478</v>
      </c>
      <c r="G26" s="552"/>
      <c r="H26" s="552"/>
      <c r="I26" s="552"/>
      <c r="J26" s="552"/>
      <c r="K26" s="552"/>
      <c r="L26" s="552"/>
      <c r="M26" s="555"/>
      <c r="O26" s="551" t="s">
        <v>479</v>
      </c>
      <c r="P26" s="552"/>
      <c r="Q26" s="555"/>
      <c r="R26" s="573" t="s">
        <v>480</v>
      </c>
      <c r="S26" s="573" t="s">
        <v>481</v>
      </c>
    </row>
    <row r="27" spans="1:19" ht="22.5" customHeight="1" thickBot="1">
      <c r="A27" s="343"/>
      <c r="B27" s="347" t="s">
        <v>482</v>
      </c>
      <c r="C27" s="348" t="s">
        <v>483</v>
      </c>
      <c r="D27" s="349" t="s">
        <v>408</v>
      </c>
      <c r="F27" s="551" t="s">
        <v>1</v>
      </c>
      <c r="G27" s="552"/>
      <c r="H27" s="552"/>
      <c r="I27" s="552"/>
      <c r="J27" s="552"/>
      <c r="K27" s="552"/>
      <c r="L27" s="558"/>
      <c r="M27" s="349" t="s">
        <v>408</v>
      </c>
      <c r="O27" s="347" t="s">
        <v>410</v>
      </c>
      <c r="P27" s="350" t="s">
        <v>484</v>
      </c>
      <c r="Q27" s="349" t="s">
        <v>485</v>
      </c>
      <c r="R27" s="574"/>
      <c r="S27" s="574"/>
    </row>
    <row r="28" spans="1:19" ht="22.5" customHeight="1">
      <c r="A28" s="343"/>
      <c r="B28" s="351">
        <v>0.4</v>
      </c>
      <c r="C28" s="352" t="s">
        <v>469</v>
      </c>
      <c r="D28" s="353">
        <v>58</v>
      </c>
      <c r="F28" s="566" t="s">
        <v>496</v>
      </c>
      <c r="G28" s="567"/>
      <c r="H28" s="567"/>
      <c r="I28" s="567"/>
      <c r="J28" s="567"/>
      <c r="K28" s="567"/>
      <c r="L28" s="568"/>
      <c r="M28" s="354">
        <v>2</v>
      </c>
      <c r="O28" s="355" t="s">
        <v>486</v>
      </c>
      <c r="P28" s="356">
        <v>0.6</v>
      </c>
      <c r="Q28" s="357">
        <v>344.10599999999994</v>
      </c>
      <c r="R28" s="569">
        <v>393.47999999999996</v>
      </c>
      <c r="S28" s="569">
        <v>243.04</v>
      </c>
    </row>
    <row r="29" spans="1:19" ht="22.5" customHeight="1" thickBot="1">
      <c r="A29" s="343"/>
      <c r="B29" s="358">
        <v>0.4</v>
      </c>
      <c r="C29" s="359" t="s">
        <v>470</v>
      </c>
      <c r="D29" s="353">
        <v>0</v>
      </c>
      <c r="F29" s="570" t="s">
        <v>497</v>
      </c>
      <c r="G29" s="571"/>
      <c r="H29" s="571"/>
      <c r="I29" s="571"/>
      <c r="J29" s="571"/>
      <c r="K29" s="571"/>
      <c r="L29" s="572"/>
      <c r="M29" s="360">
        <v>127</v>
      </c>
      <c r="O29" s="361" t="s">
        <v>487</v>
      </c>
      <c r="P29" s="362">
        <v>0.3</v>
      </c>
      <c r="Q29" s="357">
        <v>172.05299999999997</v>
      </c>
      <c r="R29" s="569"/>
      <c r="S29" s="569"/>
    </row>
    <row r="30" spans="1:19" ht="22.5" customHeight="1" thickBot="1">
      <c r="A30" s="343"/>
      <c r="B30" s="358">
        <v>0.5</v>
      </c>
      <c r="C30" s="352" t="s">
        <v>469</v>
      </c>
      <c r="D30" s="353">
        <v>0</v>
      </c>
      <c r="F30" s="363"/>
      <c r="G30" s="363"/>
      <c r="H30" s="363"/>
      <c r="I30" s="363"/>
      <c r="J30" s="363"/>
      <c r="K30" s="363"/>
      <c r="L30" s="363"/>
      <c r="O30" s="364" t="s">
        <v>488</v>
      </c>
      <c r="P30" s="365">
        <v>0.1</v>
      </c>
      <c r="Q30" s="366">
        <v>57.35099999999999</v>
      </c>
      <c r="R30" s="569"/>
      <c r="S30" s="569"/>
    </row>
    <row r="31" spans="1:19" ht="22.5" customHeight="1" thickBot="1">
      <c r="A31" s="343"/>
      <c r="B31" s="358">
        <v>0.5</v>
      </c>
      <c r="C31" s="359" t="s">
        <v>470</v>
      </c>
      <c r="D31" s="353">
        <v>0</v>
      </c>
      <c r="F31" s="551" t="s">
        <v>489</v>
      </c>
      <c r="G31" s="552"/>
      <c r="H31" s="552"/>
      <c r="I31" s="552"/>
      <c r="J31" s="552"/>
      <c r="K31" s="552"/>
      <c r="L31" s="552"/>
      <c r="M31" s="555"/>
      <c r="O31" s="551" t="s">
        <v>490</v>
      </c>
      <c r="P31" s="552"/>
      <c r="Q31" s="367">
        <v>573.5099999999999</v>
      </c>
      <c r="R31" s="368">
        <v>393.47999999999996</v>
      </c>
      <c r="S31" s="368">
        <v>243.04</v>
      </c>
    </row>
    <row r="32" spans="1:20" ht="22.5" customHeight="1" thickBot="1">
      <c r="A32" s="343"/>
      <c r="B32" s="358">
        <v>0.6</v>
      </c>
      <c r="C32" s="352" t="s">
        <v>469</v>
      </c>
      <c r="D32" s="353">
        <v>348</v>
      </c>
      <c r="F32" s="561" t="s">
        <v>1</v>
      </c>
      <c r="G32" s="562"/>
      <c r="H32" s="562"/>
      <c r="I32" s="562"/>
      <c r="J32" s="562"/>
      <c r="K32" s="562"/>
      <c r="L32" s="563"/>
      <c r="M32" s="369" t="s">
        <v>408</v>
      </c>
      <c r="S32" s="343"/>
      <c r="T32" s="343"/>
    </row>
    <row r="33" spans="1:17" ht="22.5" customHeight="1" thickBot="1">
      <c r="A33" s="343"/>
      <c r="B33" s="358">
        <v>0.6</v>
      </c>
      <c r="C33" s="359" t="s">
        <v>470</v>
      </c>
      <c r="D33" s="353">
        <v>0</v>
      </c>
      <c r="F33" s="549" t="s">
        <v>498</v>
      </c>
      <c r="G33" s="550"/>
      <c r="H33" s="550"/>
      <c r="I33" s="550"/>
      <c r="J33" s="550"/>
      <c r="K33" s="550"/>
      <c r="L33" s="550"/>
      <c r="M33" s="370">
        <v>15</v>
      </c>
      <c r="O33" s="551" t="s">
        <v>491</v>
      </c>
      <c r="P33" s="552"/>
      <c r="Q33" s="367">
        <v>27.88</v>
      </c>
    </row>
    <row r="34" spans="1:20" ht="22.5" customHeight="1" thickBot="1">
      <c r="A34" s="343"/>
      <c r="B34" s="358">
        <v>0.8</v>
      </c>
      <c r="C34" s="352" t="s">
        <v>469</v>
      </c>
      <c r="D34" s="353">
        <v>0</v>
      </c>
      <c r="F34" s="549" t="s">
        <v>502</v>
      </c>
      <c r="G34" s="550"/>
      <c r="H34" s="550"/>
      <c r="I34" s="550"/>
      <c r="J34" s="550"/>
      <c r="K34" s="550"/>
      <c r="L34" s="550"/>
      <c r="M34" s="370">
        <v>406</v>
      </c>
      <c r="O34" s="551" t="s">
        <v>493</v>
      </c>
      <c r="P34" s="552"/>
      <c r="Q34" s="367">
        <v>75.5</v>
      </c>
      <c r="R34" s="371"/>
      <c r="S34" s="343"/>
      <c r="T34" s="343"/>
    </row>
    <row r="35" spans="1:20" ht="22.5" customHeight="1" thickBot="1">
      <c r="A35" s="343"/>
      <c r="B35" s="358">
        <v>1</v>
      </c>
      <c r="C35" s="359" t="s">
        <v>470</v>
      </c>
      <c r="D35" s="353">
        <v>0</v>
      </c>
      <c r="F35" s="549" t="s">
        <v>492</v>
      </c>
      <c r="G35" s="550"/>
      <c r="H35" s="550"/>
      <c r="I35" s="550"/>
      <c r="J35" s="550"/>
      <c r="K35" s="550"/>
      <c r="L35" s="550"/>
      <c r="M35" s="370">
        <v>4</v>
      </c>
      <c r="O35" s="551" t="s">
        <v>514</v>
      </c>
      <c r="P35" s="552"/>
      <c r="Q35" s="367">
        <v>2104.94</v>
      </c>
      <c r="S35" s="343"/>
      <c r="T35" s="343"/>
    </row>
    <row r="36" spans="1:20" ht="22.5" customHeight="1" thickBot="1">
      <c r="A36" s="372"/>
      <c r="B36" s="551" t="s">
        <v>407</v>
      </c>
      <c r="C36" s="558"/>
      <c r="D36" s="373">
        <v>406</v>
      </c>
      <c r="F36" s="559" t="s">
        <v>499</v>
      </c>
      <c r="G36" s="560"/>
      <c r="H36" s="560"/>
      <c r="I36" s="560"/>
      <c r="J36" s="560"/>
      <c r="K36" s="560"/>
      <c r="L36" s="560"/>
      <c r="M36" s="360">
        <v>2</v>
      </c>
      <c r="S36" s="343"/>
      <c r="T36" s="343"/>
    </row>
    <row r="37" ht="19.5" customHeight="1">
      <c r="F37" s="312" t="s">
        <v>98</v>
      </c>
    </row>
  </sheetData>
  <sheetProtection/>
  <mergeCells count="43">
    <mergeCell ref="A5:S5"/>
    <mergeCell ref="A6:A7"/>
    <mergeCell ref="S26:S27"/>
    <mergeCell ref="F27:L27"/>
    <mergeCell ref="J6:J7"/>
    <mergeCell ref="K6:K7"/>
    <mergeCell ref="P6:P7"/>
    <mergeCell ref="G6:G7"/>
    <mergeCell ref="R6:R7"/>
    <mergeCell ref="A8:A14"/>
    <mergeCell ref="C6:C7"/>
    <mergeCell ref="H6:H7"/>
    <mergeCell ref="I6:I7"/>
    <mergeCell ref="B6:B7"/>
    <mergeCell ref="O6:O7"/>
    <mergeCell ref="R28:R30"/>
    <mergeCell ref="B26:D26"/>
    <mergeCell ref="S28:S30"/>
    <mergeCell ref="F29:L29"/>
    <mergeCell ref="R26:R27"/>
    <mergeCell ref="F6:F7"/>
    <mergeCell ref="L6:L7"/>
    <mergeCell ref="Q6:Q7"/>
    <mergeCell ref="M6:M7"/>
    <mergeCell ref="N6:N7"/>
    <mergeCell ref="B36:C36"/>
    <mergeCell ref="F36:L36"/>
    <mergeCell ref="F32:L32"/>
    <mergeCell ref="F33:L33"/>
    <mergeCell ref="O33:P33"/>
    <mergeCell ref="S6:S7"/>
    <mergeCell ref="F31:M31"/>
    <mergeCell ref="O31:P31"/>
    <mergeCell ref="A23:B23"/>
    <mergeCell ref="F28:L28"/>
    <mergeCell ref="F34:L34"/>
    <mergeCell ref="O35:P35"/>
    <mergeCell ref="F35:L35"/>
    <mergeCell ref="O34:P34"/>
    <mergeCell ref="A16:A22"/>
    <mergeCell ref="F26:M26"/>
    <mergeCell ref="O26:Q26"/>
    <mergeCell ref="Q23:R23"/>
  </mergeCells>
  <printOptions/>
  <pageMargins left="0.511811024" right="0.511811024" top="0.787401575" bottom="0.787401575" header="0.31496062" footer="0.31496062"/>
  <pageSetup fitToHeight="1" fitToWidth="1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3">
    <pageSetUpPr fitToPage="1"/>
  </sheetPr>
  <dimension ref="A1:W49"/>
  <sheetViews>
    <sheetView showGridLines="0" view="pageBreakPreview" zoomScale="60" zoomScaleNormal="70" zoomScalePageLayoutView="0" workbookViewId="0" topLeftCell="A1">
      <selection activeCell="W12" sqref="W12"/>
    </sheetView>
  </sheetViews>
  <sheetFormatPr defaultColWidth="9.140625" defaultRowHeight="12.75"/>
  <cols>
    <col min="1" max="1" width="11.140625" style="375" customWidth="1"/>
    <col min="2" max="2" width="10.7109375" style="375" bestFit="1" customWidth="1"/>
    <col min="3" max="8" width="9.140625" style="375" customWidth="1"/>
    <col min="9" max="9" width="12.8515625" style="375" bestFit="1" customWidth="1"/>
    <col min="10" max="10" width="10.140625" style="375" bestFit="1" customWidth="1"/>
    <col min="11" max="11" width="19.421875" style="375" bestFit="1" customWidth="1"/>
    <col min="12" max="13" width="15.28125" style="375" bestFit="1" customWidth="1"/>
    <col min="14" max="14" width="13.7109375" style="375" bestFit="1" customWidth="1"/>
    <col min="15" max="15" width="9.140625" style="375" customWidth="1"/>
    <col min="16" max="16" width="10.8515625" style="375" bestFit="1" customWidth="1"/>
    <col min="17" max="17" width="12.7109375" style="375" customWidth="1"/>
    <col min="18" max="18" width="15.140625" style="375" customWidth="1"/>
    <col min="19" max="19" width="12.7109375" style="375" customWidth="1"/>
    <col min="20" max="20" width="12.421875" style="375" bestFit="1" customWidth="1"/>
    <col min="21" max="16384" width="9.140625" style="375" customWidth="1"/>
  </cols>
  <sheetData>
    <row r="1" ht="13.5">
      <c r="A1" s="374" t="str">
        <f>Orçamento!A1</f>
        <v>PREFEITURA MUNICIPAL DE FONTOURA XAVIER</v>
      </c>
    </row>
    <row r="2" ht="13.5">
      <c r="A2" s="374" t="str">
        <f>Orçamento!A2</f>
        <v>Obra: Pavimentação Asfáltica da Avenida 25 de Abril</v>
      </c>
    </row>
    <row r="5" spans="1:19" ht="22.5" customHeight="1">
      <c r="A5" s="616" t="s">
        <v>318</v>
      </c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P5" s="617" t="s">
        <v>319</v>
      </c>
      <c r="Q5" s="618"/>
      <c r="R5" s="618"/>
      <c r="S5" s="619"/>
    </row>
    <row r="6" spans="1:19" ht="22.5" customHeight="1">
      <c r="A6" s="616"/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P6" s="620"/>
      <c r="Q6" s="621"/>
      <c r="R6" s="621"/>
      <c r="S6" s="622"/>
    </row>
    <row r="7" spans="1:19" ht="22.5" customHeight="1">
      <c r="A7" s="610" t="s">
        <v>320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2"/>
      <c r="P7" s="623">
        <f>Orçamento!A5</f>
        <v>235</v>
      </c>
      <c r="Q7" s="624"/>
      <c r="R7" s="624"/>
      <c r="S7" s="625"/>
    </row>
    <row r="8" spans="1:19" ht="22.5" customHeight="1">
      <c r="A8" s="613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5"/>
      <c r="P8" s="626"/>
      <c r="Q8" s="627"/>
      <c r="R8" s="627"/>
      <c r="S8" s="628"/>
    </row>
    <row r="9" spans="1:19" ht="45" customHeight="1">
      <c r="A9" s="376" t="s">
        <v>321</v>
      </c>
      <c r="B9" s="376" t="s">
        <v>322</v>
      </c>
      <c r="C9" s="600" t="s">
        <v>323</v>
      </c>
      <c r="D9" s="601"/>
      <c r="E9" s="601"/>
      <c r="F9" s="601"/>
      <c r="G9" s="601"/>
      <c r="H9" s="602"/>
      <c r="I9" s="377" t="s">
        <v>324</v>
      </c>
      <c r="J9" s="377" t="s">
        <v>325</v>
      </c>
      <c r="K9" s="377" t="s">
        <v>326</v>
      </c>
      <c r="L9" s="377" t="s">
        <v>327</v>
      </c>
      <c r="M9" s="377" t="s">
        <v>328</v>
      </c>
      <c r="N9" s="377" t="s">
        <v>329</v>
      </c>
      <c r="P9" s="629" t="s">
        <v>504</v>
      </c>
      <c r="Q9" s="630"/>
      <c r="R9" s="630"/>
      <c r="S9" s="631"/>
    </row>
    <row r="10" spans="1:19" ht="45" customHeight="1">
      <c r="A10" s="377"/>
      <c r="B10" s="378" t="s">
        <v>330</v>
      </c>
      <c r="C10" s="592" t="s">
        <v>331</v>
      </c>
      <c r="D10" s="599"/>
      <c r="E10" s="599"/>
      <c r="F10" s="599"/>
      <c r="G10" s="599"/>
      <c r="H10" s="593"/>
      <c r="I10" s="379">
        <v>1</v>
      </c>
      <c r="J10" s="378">
        <v>1</v>
      </c>
      <c r="K10" s="376" t="s">
        <v>310</v>
      </c>
      <c r="L10" s="378">
        <v>25</v>
      </c>
      <c r="M10" s="378">
        <v>25</v>
      </c>
      <c r="N10" s="378">
        <f>((((SQRT(2)*L10)+M10)^2)/10000)*J10</f>
        <v>0.3642766952966369</v>
      </c>
      <c r="P10" s="592" t="s">
        <v>332</v>
      </c>
      <c r="Q10" s="593"/>
      <c r="R10" s="378" t="s">
        <v>333</v>
      </c>
      <c r="S10" s="378" t="s">
        <v>334</v>
      </c>
    </row>
    <row r="11" spans="1:19" ht="45" customHeight="1">
      <c r="A11" s="380"/>
      <c r="B11" s="378" t="s">
        <v>335</v>
      </c>
      <c r="C11" s="592" t="s">
        <v>336</v>
      </c>
      <c r="D11" s="599"/>
      <c r="E11" s="599"/>
      <c r="F11" s="599"/>
      <c r="G11" s="599"/>
      <c r="H11" s="593"/>
      <c r="I11" s="379"/>
      <c r="J11" s="378"/>
      <c r="K11" s="381" t="s">
        <v>310</v>
      </c>
      <c r="L11" s="378">
        <v>80</v>
      </c>
      <c r="M11" s="378">
        <v>68.8</v>
      </c>
      <c r="N11" s="378">
        <f aca="true" t="shared" si="0" ref="N11:N16">((M11*L11)/10000)*J11</f>
        <v>0</v>
      </c>
      <c r="P11" s="378" t="s">
        <v>337</v>
      </c>
      <c r="Q11" s="378">
        <v>1</v>
      </c>
      <c r="R11" s="378">
        <v>0.12</v>
      </c>
      <c r="S11" s="378">
        <f>ROUND(R11*Q11*P7,2)</f>
        <v>28.2</v>
      </c>
    </row>
    <row r="12" spans="1:19" ht="45" customHeight="1">
      <c r="A12" s="380"/>
      <c r="B12" s="378" t="s">
        <v>338</v>
      </c>
      <c r="C12" s="592" t="s">
        <v>339</v>
      </c>
      <c r="D12" s="599"/>
      <c r="E12" s="599"/>
      <c r="F12" s="599"/>
      <c r="G12" s="599"/>
      <c r="H12" s="593"/>
      <c r="I12" s="378"/>
      <c r="J12" s="378"/>
      <c r="K12" s="378">
        <v>50</v>
      </c>
      <c r="L12" s="378">
        <v>50</v>
      </c>
      <c r="M12" s="378">
        <v>50</v>
      </c>
      <c r="N12" s="378">
        <f t="shared" si="0"/>
        <v>0</v>
      </c>
      <c r="P12" s="378" t="s">
        <v>340</v>
      </c>
      <c r="Q12" s="378">
        <v>0</v>
      </c>
      <c r="R12" s="378">
        <v>0.15</v>
      </c>
      <c r="S12" s="378">
        <f>ROUND(R12*Q12*P8,2)</f>
        <v>0</v>
      </c>
    </row>
    <row r="13" spans="1:19" ht="45" customHeight="1">
      <c r="A13" s="380"/>
      <c r="B13" s="378" t="s">
        <v>341</v>
      </c>
      <c r="C13" s="592" t="s">
        <v>342</v>
      </c>
      <c r="D13" s="599"/>
      <c r="E13" s="599"/>
      <c r="F13" s="599"/>
      <c r="G13" s="599"/>
      <c r="H13" s="593"/>
      <c r="I13" s="378"/>
      <c r="J13" s="378"/>
      <c r="K13" s="378">
        <v>50</v>
      </c>
      <c r="L13" s="378">
        <v>50</v>
      </c>
      <c r="M13" s="378">
        <v>50</v>
      </c>
      <c r="N13" s="378">
        <f t="shared" si="0"/>
        <v>0</v>
      </c>
      <c r="P13" s="594" t="s">
        <v>505</v>
      </c>
      <c r="Q13" s="595"/>
      <c r="R13" s="595"/>
      <c r="S13" s="596"/>
    </row>
    <row r="14" spans="1:19" ht="45" customHeight="1">
      <c r="A14" s="380"/>
      <c r="B14" s="378" t="s">
        <v>344</v>
      </c>
      <c r="C14" s="592" t="s">
        <v>345</v>
      </c>
      <c r="D14" s="599"/>
      <c r="E14" s="599"/>
      <c r="F14" s="599"/>
      <c r="G14" s="599"/>
      <c r="H14" s="593"/>
      <c r="I14" s="378"/>
      <c r="J14" s="378"/>
      <c r="K14" s="378">
        <v>50</v>
      </c>
      <c r="L14" s="378">
        <v>50</v>
      </c>
      <c r="M14" s="378">
        <v>50</v>
      </c>
      <c r="N14" s="378">
        <f t="shared" si="0"/>
        <v>0</v>
      </c>
      <c r="P14" s="597" t="s">
        <v>410</v>
      </c>
      <c r="Q14" s="598"/>
      <c r="R14" s="382" t="s">
        <v>332</v>
      </c>
      <c r="S14" s="382" t="s">
        <v>334</v>
      </c>
    </row>
    <row r="15" spans="1:23" ht="45" customHeight="1">
      <c r="A15" s="380"/>
      <c r="B15" s="378" t="s">
        <v>348</v>
      </c>
      <c r="C15" s="592" t="s">
        <v>349</v>
      </c>
      <c r="D15" s="599"/>
      <c r="E15" s="599"/>
      <c r="F15" s="599"/>
      <c r="G15" s="599"/>
      <c r="H15" s="593"/>
      <c r="I15" s="378"/>
      <c r="J15" s="378"/>
      <c r="K15" s="378">
        <v>50</v>
      </c>
      <c r="L15" s="378">
        <v>50</v>
      </c>
      <c r="M15" s="378">
        <v>50</v>
      </c>
      <c r="N15" s="378">
        <f t="shared" si="0"/>
        <v>0</v>
      </c>
      <c r="P15" s="383" t="s">
        <v>506</v>
      </c>
      <c r="Q15" s="383"/>
      <c r="R15" s="381">
        <v>3</v>
      </c>
      <c r="S15" s="381">
        <f>ROUND((2*Orçamento!A6*4*0.4)+(1*Orçamento!E7*4*0.4),2)</f>
        <v>48</v>
      </c>
      <c r="U15" s="20"/>
      <c r="V15" s="20"/>
      <c r="W15" s="20"/>
    </row>
    <row r="16" spans="1:22" ht="45" customHeight="1">
      <c r="A16" s="380"/>
      <c r="B16" s="378" t="s">
        <v>350</v>
      </c>
      <c r="C16" s="603" t="s">
        <v>351</v>
      </c>
      <c r="D16" s="603"/>
      <c r="E16" s="603"/>
      <c r="F16" s="603"/>
      <c r="G16" s="603"/>
      <c r="H16" s="603"/>
      <c r="I16" s="378">
        <f>J16</f>
        <v>4</v>
      </c>
      <c r="J16" s="378">
        <v>4</v>
      </c>
      <c r="K16" s="378">
        <v>50</v>
      </c>
      <c r="L16" s="378">
        <v>50</v>
      </c>
      <c r="M16" s="378">
        <v>50</v>
      </c>
      <c r="N16" s="378">
        <f t="shared" si="0"/>
        <v>1</v>
      </c>
      <c r="P16" s="383" t="s">
        <v>507</v>
      </c>
      <c r="Q16" s="383"/>
      <c r="R16" s="381">
        <v>3</v>
      </c>
      <c r="S16" s="381">
        <f>ROUND(2*((0.4*Orçamento!A6/2)+(0.5*0.4*Orçamento!E7/2)),2)</f>
        <v>6</v>
      </c>
      <c r="U16" s="20"/>
      <c r="V16" s="20"/>
    </row>
    <row r="17" spans="1:19" ht="22.5" customHeight="1">
      <c r="A17" s="610" t="s">
        <v>352</v>
      </c>
      <c r="B17" s="611"/>
      <c r="C17" s="611"/>
      <c r="D17" s="611"/>
      <c r="E17" s="611"/>
      <c r="F17" s="611"/>
      <c r="G17" s="611"/>
      <c r="H17" s="611"/>
      <c r="I17" s="611"/>
      <c r="J17" s="611"/>
      <c r="K17" s="611"/>
      <c r="L17" s="611"/>
      <c r="M17" s="611"/>
      <c r="N17" s="612"/>
      <c r="P17" s="586" t="s">
        <v>343</v>
      </c>
      <c r="Q17" s="587"/>
      <c r="R17" s="587"/>
      <c r="S17" s="588"/>
    </row>
    <row r="18" spans="1:19" ht="22.5" customHeight="1">
      <c r="A18" s="613"/>
      <c r="B18" s="614"/>
      <c r="C18" s="614"/>
      <c r="D18" s="614"/>
      <c r="E18" s="614"/>
      <c r="F18" s="614"/>
      <c r="G18" s="614"/>
      <c r="H18" s="614"/>
      <c r="I18" s="614"/>
      <c r="J18" s="614"/>
      <c r="K18" s="614"/>
      <c r="L18" s="614"/>
      <c r="M18" s="614"/>
      <c r="N18" s="615"/>
      <c r="P18" s="589"/>
      <c r="Q18" s="590"/>
      <c r="R18" s="590"/>
      <c r="S18" s="591"/>
    </row>
    <row r="19" spans="1:19" ht="45" customHeight="1">
      <c r="A19" s="376" t="s">
        <v>44</v>
      </c>
      <c r="B19" s="376" t="s">
        <v>322</v>
      </c>
      <c r="C19" s="600" t="s">
        <v>323</v>
      </c>
      <c r="D19" s="601"/>
      <c r="E19" s="601"/>
      <c r="F19" s="601"/>
      <c r="G19" s="601"/>
      <c r="H19" s="602"/>
      <c r="I19" s="377" t="s">
        <v>324</v>
      </c>
      <c r="J19" s="377" t="s">
        <v>325</v>
      </c>
      <c r="K19" s="377" t="s">
        <v>326</v>
      </c>
      <c r="L19" s="377" t="s">
        <v>327</v>
      </c>
      <c r="M19" s="377" t="s">
        <v>328</v>
      </c>
      <c r="N19" s="377" t="s">
        <v>329</v>
      </c>
      <c r="P19" s="592" t="s">
        <v>332</v>
      </c>
      <c r="Q19" s="593"/>
      <c r="R19" s="378" t="s">
        <v>346</v>
      </c>
      <c r="S19" s="378" t="s">
        <v>347</v>
      </c>
    </row>
    <row r="20" spans="1:19" ht="45" customHeight="1">
      <c r="A20" s="380"/>
      <c r="B20" s="378" t="s">
        <v>353</v>
      </c>
      <c r="C20" s="603" t="s">
        <v>354</v>
      </c>
      <c r="D20" s="603"/>
      <c r="E20" s="603"/>
      <c r="F20" s="603"/>
      <c r="G20" s="603"/>
      <c r="H20" s="603"/>
      <c r="I20" s="378"/>
      <c r="J20" s="378"/>
      <c r="K20" s="381" t="s">
        <v>310</v>
      </c>
      <c r="L20" s="378">
        <v>50</v>
      </c>
      <c r="M20" s="378">
        <v>50</v>
      </c>
      <c r="N20" s="378">
        <f aca="true" t="shared" si="1" ref="N20:N36">((M20*L20)/10000)*J20</f>
        <v>0</v>
      </c>
      <c r="P20" s="378" t="s">
        <v>337</v>
      </c>
      <c r="Q20" s="378">
        <v>0</v>
      </c>
      <c r="R20" s="378">
        <v>4</v>
      </c>
      <c r="S20" s="378">
        <f>ROUND(P7/R20,0)*Q20</f>
        <v>0</v>
      </c>
    </row>
    <row r="21" spans="1:19" ht="45" customHeight="1">
      <c r="A21" s="380"/>
      <c r="B21" s="378" t="s">
        <v>355</v>
      </c>
      <c r="C21" s="603" t="s">
        <v>356</v>
      </c>
      <c r="D21" s="603"/>
      <c r="E21" s="603"/>
      <c r="F21" s="603"/>
      <c r="G21" s="603"/>
      <c r="H21" s="603"/>
      <c r="I21" s="378"/>
      <c r="J21" s="378"/>
      <c r="K21" s="381" t="s">
        <v>310</v>
      </c>
      <c r="L21" s="378">
        <v>50</v>
      </c>
      <c r="M21" s="378">
        <v>50</v>
      </c>
      <c r="N21" s="378">
        <f t="shared" si="1"/>
        <v>0</v>
      </c>
      <c r="P21" s="378" t="s">
        <v>340</v>
      </c>
      <c r="Q21" s="378">
        <v>0</v>
      </c>
      <c r="R21" s="378">
        <v>8</v>
      </c>
      <c r="S21" s="378">
        <f>ROUND(P7/R21,0)*Q21</f>
        <v>0</v>
      </c>
    </row>
    <row r="22" spans="1:14" ht="45" customHeight="1">
      <c r="A22" s="380"/>
      <c r="B22" s="378" t="s">
        <v>357</v>
      </c>
      <c r="C22" s="603" t="s">
        <v>358</v>
      </c>
      <c r="D22" s="603"/>
      <c r="E22" s="603"/>
      <c r="F22" s="603"/>
      <c r="G22" s="603"/>
      <c r="H22" s="603"/>
      <c r="I22" s="378"/>
      <c r="J22" s="378"/>
      <c r="K22" s="381" t="s">
        <v>310</v>
      </c>
      <c r="L22" s="378">
        <v>50</v>
      </c>
      <c r="M22" s="378">
        <v>50</v>
      </c>
      <c r="N22" s="378">
        <f t="shared" si="1"/>
        <v>0</v>
      </c>
    </row>
    <row r="23" spans="1:14" ht="45" customHeight="1">
      <c r="A23" s="380"/>
      <c r="B23" s="378" t="s">
        <v>359</v>
      </c>
      <c r="C23" s="603" t="s">
        <v>360</v>
      </c>
      <c r="D23" s="603"/>
      <c r="E23" s="603"/>
      <c r="F23" s="603"/>
      <c r="G23" s="603"/>
      <c r="H23" s="603"/>
      <c r="I23" s="378"/>
      <c r="J23" s="378"/>
      <c r="K23" s="381" t="s">
        <v>310</v>
      </c>
      <c r="L23" s="378">
        <v>50</v>
      </c>
      <c r="M23" s="378">
        <v>50</v>
      </c>
      <c r="N23" s="378">
        <f t="shared" si="1"/>
        <v>0</v>
      </c>
    </row>
    <row r="24" spans="1:14" ht="45" customHeight="1">
      <c r="A24" s="380"/>
      <c r="B24" s="378" t="s">
        <v>361</v>
      </c>
      <c r="C24" s="603" t="s">
        <v>362</v>
      </c>
      <c r="D24" s="603"/>
      <c r="E24" s="603"/>
      <c r="F24" s="603"/>
      <c r="G24" s="603"/>
      <c r="H24" s="603"/>
      <c r="I24" s="378"/>
      <c r="J24" s="378"/>
      <c r="K24" s="381" t="s">
        <v>310</v>
      </c>
      <c r="L24" s="378">
        <v>50</v>
      </c>
      <c r="M24" s="378">
        <v>50</v>
      </c>
      <c r="N24" s="378">
        <f t="shared" si="1"/>
        <v>0</v>
      </c>
    </row>
    <row r="25" spans="1:14" ht="45" customHeight="1">
      <c r="A25" s="380"/>
      <c r="B25" s="378" t="s">
        <v>363</v>
      </c>
      <c r="C25" s="603" t="s">
        <v>364</v>
      </c>
      <c r="D25" s="603"/>
      <c r="E25" s="603"/>
      <c r="F25" s="603"/>
      <c r="G25" s="603"/>
      <c r="H25" s="603"/>
      <c r="I25" s="378"/>
      <c r="J25" s="378"/>
      <c r="K25" s="381" t="s">
        <v>310</v>
      </c>
      <c r="L25" s="378">
        <v>50</v>
      </c>
      <c r="M25" s="378">
        <v>50</v>
      </c>
      <c r="N25" s="378">
        <f t="shared" si="1"/>
        <v>0</v>
      </c>
    </row>
    <row r="26" spans="1:14" ht="45" customHeight="1">
      <c r="A26" s="380"/>
      <c r="B26" s="378" t="s">
        <v>365</v>
      </c>
      <c r="C26" s="603" t="s">
        <v>366</v>
      </c>
      <c r="D26" s="603"/>
      <c r="E26" s="603"/>
      <c r="F26" s="603"/>
      <c r="G26" s="603"/>
      <c r="H26" s="603"/>
      <c r="I26" s="378"/>
      <c r="J26" s="378"/>
      <c r="K26" s="381" t="s">
        <v>310</v>
      </c>
      <c r="L26" s="378">
        <v>50</v>
      </c>
      <c r="M26" s="378">
        <v>50</v>
      </c>
      <c r="N26" s="378">
        <f t="shared" si="1"/>
        <v>0</v>
      </c>
    </row>
    <row r="27" spans="1:14" ht="45" customHeight="1">
      <c r="A27" s="380"/>
      <c r="B27" s="378" t="s">
        <v>367</v>
      </c>
      <c r="C27" s="603" t="s">
        <v>368</v>
      </c>
      <c r="D27" s="603"/>
      <c r="E27" s="603"/>
      <c r="F27" s="603"/>
      <c r="G27" s="603"/>
      <c r="H27" s="603"/>
      <c r="I27" s="378"/>
      <c r="J27" s="378"/>
      <c r="K27" s="381" t="s">
        <v>310</v>
      </c>
      <c r="L27" s="378">
        <v>50</v>
      </c>
      <c r="M27" s="378">
        <v>50</v>
      </c>
      <c r="N27" s="378">
        <f t="shared" si="1"/>
        <v>0</v>
      </c>
    </row>
    <row r="28" spans="1:14" ht="45" customHeight="1">
      <c r="A28" s="380"/>
      <c r="B28" s="378" t="s">
        <v>369</v>
      </c>
      <c r="C28" s="603" t="s">
        <v>370</v>
      </c>
      <c r="D28" s="603"/>
      <c r="E28" s="603"/>
      <c r="F28" s="603"/>
      <c r="G28" s="603"/>
      <c r="H28" s="603"/>
      <c r="I28" s="378"/>
      <c r="J28" s="378"/>
      <c r="K28" s="381" t="s">
        <v>310</v>
      </c>
      <c r="L28" s="378">
        <v>50</v>
      </c>
      <c r="M28" s="378">
        <v>50</v>
      </c>
      <c r="N28" s="378">
        <f t="shared" si="1"/>
        <v>0</v>
      </c>
    </row>
    <row r="29" spans="1:14" ht="45" customHeight="1">
      <c r="A29" s="380"/>
      <c r="B29" s="378" t="s">
        <v>371</v>
      </c>
      <c r="C29" s="603" t="s">
        <v>372</v>
      </c>
      <c r="D29" s="603"/>
      <c r="E29" s="603"/>
      <c r="F29" s="603"/>
      <c r="G29" s="603"/>
      <c r="H29" s="603"/>
      <c r="I29" s="378"/>
      <c r="J29" s="378"/>
      <c r="K29" s="381" t="s">
        <v>310</v>
      </c>
      <c r="L29" s="378">
        <v>50</v>
      </c>
      <c r="M29" s="378">
        <v>50</v>
      </c>
      <c r="N29" s="378">
        <f t="shared" si="1"/>
        <v>0</v>
      </c>
    </row>
    <row r="30" spans="1:14" ht="45" customHeight="1">
      <c r="A30" s="380"/>
      <c r="B30" s="378" t="s">
        <v>373</v>
      </c>
      <c r="C30" s="603" t="s">
        <v>374</v>
      </c>
      <c r="D30" s="603"/>
      <c r="E30" s="603"/>
      <c r="F30" s="603"/>
      <c r="G30" s="603"/>
      <c r="H30" s="603"/>
      <c r="I30" s="378"/>
      <c r="J30" s="378"/>
      <c r="K30" s="381" t="s">
        <v>310</v>
      </c>
      <c r="L30" s="378">
        <v>50</v>
      </c>
      <c r="M30" s="378">
        <v>50</v>
      </c>
      <c r="N30" s="378">
        <f t="shared" si="1"/>
        <v>0</v>
      </c>
    </row>
    <row r="31" spans="1:14" ht="45" customHeight="1">
      <c r="A31" s="380"/>
      <c r="B31" s="378" t="s">
        <v>375</v>
      </c>
      <c r="C31" s="603" t="s">
        <v>376</v>
      </c>
      <c r="D31" s="603"/>
      <c r="E31" s="603"/>
      <c r="F31" s="603"/>
      <c r="G31" s="603"/>
      <c r="H31" s="603"/>
      <c r="I31" s="378"/>
      <c r="J31" s="378"/>
      <c r="K31" s="381" t="s">
        <v>310</v>
      </c>
      <c r="L31" s="378">
        <v>50</v>
      </c>
      <c r="M31" s="378">
        <v>50</v>
      </c>
      <c r="N31" s="378">
        <f t="shared" si="1"/>
        <v>0</v>
      </c>
    </row>
    <row r="32" spans="1:14" ht="45" customHeight="1">
      <c r="A32" s="380"/>
      <c r="B32" s="378" t="s">
        <v>377</v>
      </c>
      <c r="C32" s="603" t="s">
        <v>378</v>
      </c>
      <c r="D32" s="603"/>
      <c r="E32" s="603"/>
      <c r="F32" s="603"/>
      <c r="G32" s="603"/>
      <c r="H32" s="603"/>
      <c r="I32" s="378"/>
      <c r="J32" s="378"/>
      <c r="K32" s="381" t="s">
        <v>310</v>
      </c>
      <c r="L32" s="378">
        <v>50</v>
      </c>
      <c r="M32" s="378">
        <v>50</v>
      </c>
      <c r="N32" s="378">
        <f t="shared" si="1"/>
        <v>0</v>
      </c>
    </row>
    <row r="33" spans="1:14" ht="45" customHeight="1">
      <c r="A33" s="380"/>
      <c r="B33" s="378" t="s">
        <v>379</v>
      </c>
      <c r="C33" s="603" t="s">
        <v>380</v>
      </c>
      <c r="D33" s="603"/>
      <c r="E33" s="603"/>
      <c r="F33" s="603"/>
      <c r="G33" s="603"/>
      <c r="H33" s="603"/>
      <c r="I33" s="378"/>
      <c r="J33" s="378"/>
      <c r="K33" s="381" t="s">
        <v>310</v>
      </c>
      <c r="L33" s="378">
        <v>50</v>
      </c>
      <c r="M33" s="378">
        <v>50</v>
      </c>
      <c r="N33" s="378">
        <f t="shared" si="1"/>
        <v>0</v>
      </c>
    </row>
    <row r="34" spans="1:14" ht="45" customHeight="1">
      <c r="A34" s="380"/>
      <c r="B34" s="378" t="s">
        <v>381</v>
      </c>
      <c r="C34" s="603" t="s">
        <v>382</v>
      </c>
      <c r="D34" s="603"/>
      <c r="E34" s="603"/>
      <c r="F34" s="603"/>
      <c r="G34" s="603"/>
      <c r="H34" s="603"/>
      <c r="I34" s="378">
        <v>3</v>
      </c>
      <c r="J34" s="378">
        <v>3</v>
      </c>
      <c r="K34" s="381" t="s">
        <v>310</v>
      </c>
      <c r="L34" s="378">
        <v>50</v>
      </c>
      <c r="M34" s="378">
        <v>50</v>
      </c>
      <c r="N34" s="378">
        <f t="shared" si="1"/>
        <v>0.75</v>
      </c>
    </row>
    <row r="35" spans="1:14" ht="45" customHeight="1">
      <c r="A35" s="380"/>
      <c r="B35" s="378" t="s">
        <v>383</v>
      </c>
      <c r="C35" s="603" t="s">
        <v>384</v>
      </c>
      <c r="D35" s="603"/>
      <c r="E35" s="603"/>
      <c r="F35" s="603"/>
      <c r="G35" s="603"/>
      <c r="H35" s="603"/>
      <c r="I35" s="378"/>
      <c r="J35" s="378"/>
      <c r="K35" s="381" t="s">
        <v>310</v>
      </c>
      <c r="L35" s="378">
        <v>50</v>
      </c>
      <c r="M35" s="378">
        <v>50</v>
      </c>
      <c r="N35" s="378">
        <f t="shared" si="1"/>
        <v>0</v>
      </c>
    </row>
    <row r="36" spans="1:14" ht="45" customHeight="1">
      <c r="A36" s="380"/>
      <c r="B36" s="378" t="s">
        <v>385</v>
      </c>
      <c r="C36" s="603" t="s">
        <v>386</v>
      </c>
      <c r="D36" s="603"/>
      <c r="E36" s="603"/>
      <c r="F36" s="603"/>
      <c r="G36" s="603"/>
      <c r="H36" s="603"/>
      <c r="I36" s="378"/>
      <c r="J36" s="378"/>
      <c r="K36" s="381" t="s">
        <v>310</v>
      </c>
      <c r="L36" s="378">
        <v>50</v>
      </c>
      <c r="M36" s="378">
        <v>50</v>
      </c>
      <c r="N36" s="378">
        <f t="shared" si="1"/>
        <v>0</v>
      </c>
    </row>
    <row r="37" spans="1:14" ht="15" customHeight="1">
      <c r="A37" s="604" t="s">
        <v>387</v>
      </c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6"/>
    </row>
    <row r="38" spans="1:14" ht="15" customHeight="1">
      <c r="A38" s="607"/>
      <c r="B38" s="608"/>
      <c r="C38" s="608"/>
      <c r="D38" s="608"/>
      <c r="E38" s="608"/>
      <c r="F38" s="608"/>
      <c r="G38" s="608"/>
      <c r="H38" s="608"/>
      <c r="I38" s="608"/>
      <c r="J38" s="608"/>
      <c r="K38" s="608"/>
      <c r="L38" s="608"/>
      <c r="M38" s="608"/>
      <c r="N38" s="609"/>
    </row>
    <row r="39" spans="1:14" ht="45" customHeight="1">
      <c r="A39" s="376" t="s">
        <v>44</v>
      </c>
      <c r="B39" s="376" t="s">
        <v>322</v>
      </c>
      <c r="C39" s="600" t="s">
        <v>323</v>
      </c>
      <c r="D39" s="601"/>
      <c r="E39" s="601"/>
      <c r="F39" s="601"/>
      <c r="G39" s="601"/>
      <c r="H39" s="602"/>
      <c r="I39" s="377" t="s">
        <v>324</v>
      </c>
      <c r="J39" s="377" t="s">
        <v>325</v>
      </c>
      <c r="K39" s="377" t="s">
        <v>326</v>
      </c>
      <c r="L39" s="377" t="s">
        <v>327</v>
      </c>
      <c r="M39" s="377" t="s">
        <v>328</v>
      </c>
      <c r="N39" s="377" t="s">
        <v>329</v>
      </c>
    </row>
    <row r="40" spans="1:14" ht="45" customHeight="1">
      <c r="A40" s="380"/>
      <c r="B40" s="381" t="s">
        <v>310</v>
      </c>
      <c r="C40" s="603" t="s">
        <v>393</v>
      </c>
      <c r="D40" s="603"/>
      <c r="E40" s="603"/>
      <c r="F40" s="603"/>
      <c r="G40" s="603"/>
      <c r="H40" s="603"/>
      <c r="I40" s="378">
        <v>0</v>
      </c>
      <c r="J40" s="378">
        <v>0</v>
      </c>
      <c r="K40" s="381" t="s">
        <v>310</v>
      </c>
      <c r="L40" s="378">
        <v>45</v>
      </c>
      <c r="M40" s="378">
        <v>25</v>
      </c>
      <c r="N40" s="378">
        <f>((M40*L40)/10000)*J40</f>
        <v>0</v>
      </c>
    </row>
    <row r="41" spans="1:14" ht="45" customHeight="1">
      <c r="A41" s="380"/>
      <c r="B41" s="381" t="s">
        <v>310</v>
      </c>
      <c r="C41" s="603" t="s">
        <v>388</v>
      </c>
      <c r="D41" s="603"/>
      <c r="E41" s="603"/>
      <c r="F41" s="603"/>
      <c r="G41" s="603"/>
      <c r="H41" s="603"/>
      <c r="I41" s="378"/>
      <c r="J41" s="378"/>
      <c r="K41" s="381" t="s">
        <v>310</v>
      </c>
      <c r="L41" s="378">
        <v>50</v>
      </c>
      <c r="M41" s="378">
        <v>60</v>
      </c>
      <c r="N41" s="378">
        <f>((M41*L41)/10000)*J41</f>
        <v>0</v>
      </c>
    </row>
    <row r="42" spans="1:14" ht="45" customHeight="1">
      <c r="A42" s="380"/>
      <c r="B42" s="381" t="s">
        <v>310</v>
      </c>
      <c r="C42" s="603" t="s">
        <v>389</v>
      </c>
      <c r="D42" s="603"/>
      <c r="E42" s="603"/>
      <c r="F42" s="603"/>
      <c r="G42" s="603"/>
      <c r="H42" s="603"/>
      <c r="I42" s="378"/>
      <c r="J42" s="378"/>
      <c r="K42" s="381" t="s">
        <v>310</v>
      </c>
      <c r="L42" s="378">
        <v>200</v>
      </c>
      <c r="M42" s="378">
        <v>100</v>
      </c>
      <c r="N42" s="378">
        <f>((M42*L42)/10000)*J42</f>
        <v>0</v>
      </c>
    </row>
    <row r="43" spans="1:14" ht="45" customHeight="1">
      <c r="A43" s="380"/>
      <c r="B43" s="381" t="s">
        <v>390</v>
      </c>
      <c r="C43" s="603" t="s">
        <v>391</v>
      </c>
      <c r="D43" s="603"/>
      <c r="E43" s="603"/>
      <c r="F43" s="603"/>
      <c r="G43" s="603"/>
      <c r="H43" s="603"/>
      <c r="I43" s="378"/>
      <c r="J43" s="378"/>
      <c r="K43" s="381" t="s">
        <v>310</v>
      </c>
      <c r="L43" s="378">
        <v>40</v>
      </c>
      <c r="M43" s="378">
        <v>60</v>
      </c>
      <c r="N43" s="378">
        <f>((M43*L43)/10000)*J43</f>
        <v>0</v>
      </c>
    </row>
    <row r="44" spans="1:14" ht="45" customHeight="1">
      <c r="A44" s="380"/>
      <c r="B44" s="381" t="s">
        <v>373</v>
      </c>
      <c r="C44" s="603" t="s">
        <v>392</v>
      </c>
      <c r="D44" s="603"/>
      <c r="E44" s="603"/>
      <c r="F44" s="603"/>
      <c r="G44" s="603"/>
      <c r="H44" s="603"/>
      <c r="I44" s="378"/>
      <c r="J44" s="378"/>
      <c r="K44" s="381" t="s">
        <v>310</v>
      </c>
      <c r="L44" s="378">
        <v>40</v>
      </c>
      <c r="M44" s="378">
        <v>60</v>
      </c>
      <c r="N44" s="378">
        <f>((M44*L44)/10000)*J44</f>
        <v>0</v>
      </c>
    </row>
    <row r="45" spans="1:14" ht="45" customHeight="1">
      <c r="A45" s="592" t="s">
        <v>394</v>
      </c>
      <c r="B45" s="599"/>
      <c r="C45" s="599"/>
      <c r="D45" s="599"/>
      <c r="E45" s="599"/>
      <c r="F45" s="599"/>
      <c r="G45" s="599"/>
      <c r="H45" s="599"/>
      <c r="I45" s="378">
        <f>SUM(I10:I44)</f>
        <v>8</v>
      </c>
      <c r="J45" s="592" t="s">
        <v>395</v>
      </c>
      <c r="K45" s="599"/>
      <c r="L45" s="599"/>
      <c r="M45" s="593"/>
      <c r="N45" s="378">
        <f>SUM(N10:N44)</f>
        <v>2.114276695296637</v>
      </c>
    </row>
    <row r="49" spans="19:20" ht="13.5">
      <c r="S49" s="384"/>
      <c r="T49" s="385"/>
    </row>
  </sheetData>
  <sheetProtection/>
  <mergeCells count="46">
    <mergeCell ref="C11:H11"/>
    <mergeCell ref="C13:H13"/>
    <mergeCell ref="C10:H10"/>
    <mergeCell ref="P10:Q10"/>
    <mergeCell ref="A5:N6"/>
    <mergeCell ref="P5:S6"/>
    <mergeCell ref="A7:N8"/>
    <mergeCell ref="P7:S8"/>
    <mergeCell ref="C9:H9"/>
    <mergeCell ref="P9:S9"/>
    <mergeCell ref="C14:H14"/>
    <mergeCell ref="C15:H15"/>
    <mergeCell ref="C16:H16"/>
    <mergeCell ref="A17:N18"/>
    <mergeCell ref="C19:H19"/>
    <mergeCell ref="C12:H12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44:H44"/>
    <mergeCell ref="C32:H32"/>
    <mergeCell ref="C33:H33"/>
    <mergeCell ref="C34:H34"/>
    <mergeCell ref="C35:H35"/>
    <mergeCell ref="C36:H36"/>
    <mergeCell ref="A37:N38"/>
    <mergeCell ref="C40:H40"/>
    <mergeCell ref="P17:S18"/>
    <mergeCell ref="P19:Q19"/>
    <mergeCell ref="P13:S13"/>
    <mergeCell ref="P14:Q14"/>
    <mergeCell ref="A45:H45"/>
    <mergeCell ref="J45:M45"/>
    <mergeCell ref="C39:H39"/>
    <mergeCell ref="C41:H41"/>
    <mergeCell ref="C42:H42"/>
    <mergeCell ref="C43:H43"/>
  </mergeCells>
  <printOptions/>
  <pageMargins left="0.511811024" right="0.511811024" top="0.787401575" bottom="0.787401575" header="0.31496062" footer="0.31496062"/>
  <pageSetup fitToHeight="0" fitToWidth="1" orientation="portrait" paperSize="9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"/>
  <dimension ref="B2:V89"/>
  <sheetViews>
    <sheetView zoomScalePageLayoutView="0" workbookViewId="0" topLeftCell="A11">
      <selection activeCell="E17" sqref="E17:F17"/>
    </sheetView>
  </sheetViews>
  <sheetFormatPr defaultColWidth="9.140625" defaultRowHeight="12.75"/>
  <cols>
    <col min="1" max="1" width="2.28125" style="387" customWidth="1"/>
    <col min="2" max="3" width="6.00390625" style="387" customWidth="1"/>
    <col min="4" max="4" width="10.421875" style="387" customWidth="1"/>
    <col min="5" max="5" width="20.140625" style="387" customWidth="1"/>
    <col min="6" max="6" width="27.57421875" style="387" customWidth="1"/>
    <col min="7" max="7" width="11.28125" style="387" customWidth="1"/>
    <col min="8" max="8" width="11.00390625" style="388" customWidth="1"/>
    <col min="9" max="9" width="9.140625" style="387" customWidth="1"/>
    <col min="10" max="10" width="2.7109375" style="387" customWidth="1"/>
    <col min="11" max="14" width="9.140625" style="389" customWidth="1"/>
    <col min="15" max="27" width="0" style="387" hidden="1" customWidth="1"/>
    <col min="28" max="16384" width="9.140625" style="387" customWidth="1"/>
  </cols>
  <sheetData>
    <row r="2" ht="13.5">
      <c r="B2" s="386" t="s">
        <v>155</v>
      </c>
    </row>
    <row r="3" ht="13.5">
      <c r="B3" s="386" t="s">
        <v>156</v>
      </c>
    </row>
    <row r="4" ht="13.5">
      <c r="B4" s="386"/>
    </row>
    <row r="5" spans="6:10" ht="13.5">
      <c r="F5" s="390" t="str">
        <f>IF(E6="Empresa","digite o nome da empresa","digite o nome do Município")</f>
        <v>digite o nome do Município</v>
      </c>
      <c r="G5" s="391"/>
      <c r="H5" s="392" t="s">
        <v>157</v>
      </c>
      <c r="I5" s="391" t="s">
        <v>158</v>
      </c>
      <c r="J5" s="393"/>
    </row>
    <row r="6" spans="2:17" ht="13.5">
      <c r="B6" s="394" t="s">
        <v>159</v>
      </c>
      <c r="E6" s="395" t="s">
        <v>157</v>
      </c>
      <c r="F6" s="396" t="s">
        <v>516</v>
      </c>
      <c r="G6" s="389" t="str">
        <f>IF(E6="empresa","",E6)</f>
        <v>Prefeitura Municipal de</v>
      </c>
      <c r="H6" s="397"/>
      <c r="I6" s="397"/>
      <c r="J6" s="398"/>
      <c r="L6" s="399"/>
      <c r="O6" s="400"/>
      <c r="P6" s="400"/>
      <c r="Q6" s="400"/>
    </row>
    <row r="7" spans="2:17" ht="13.5">
      <c r="B7" s="394" t="s">
        <v>160</v>
      </c>
      <c r="E7" s="678" t="str">
        <f>F6</f>
        <v>Fontoura Xavier</v>
      </c>
      <c r="F7" s="679"/>
      <c r="G7" s="389"/>
      <c r="H7" s="397"/>
      <c r="I7" s="397"/>
      <c r="J7" s="398"/>
      <c r="L7" s="399"/>
      <c r="O7" s="400"/>
      <c r="P7" s="400"/>
      <c r="Q7" s="400"/>
    </row>
    <row r="8" spans="2:17" ht="12.75">
      <c r="B8" s="394" t="s">
        <v>161</v>
      </c>
      <c r="E8" s="676"/>
      <c r="F8" s="677"/>
      <c r="H8" s="401"/>
      <c r="I8" s="401"/>
      <c r="J8" s="398"/>
      <c r="O8" s="400"/>
      <c r="P8" s="400"/>
      <c r="Q8" s="400"/>
    </row>
    <row r="9" spans="2:17" ht="25.5" customHeight="1">
      <c r="B9" s="402" t="s">
        <v>162</v>
      </c>
      <c r="E9" s="680" t="str">
        <f>Orçamento!A2</f>
        <v>Obra: Pavimentação Asfáltica da Avenida 25 de Abril</v>
      </c>
      <c r="F9" s="681"/>
      <c r="H9" s="401"/>
      <c r="I9" s="401"/>
      <c r="J9" s="398"/>
      <c r="O9" s="400"/>
      <c r="P9" s="400"/>
      <c r="Q9" s="400"/>
    </row>
    <row r="10" spans="2:17" ht="12.75">
      <c r="B10" s="394" t="s">
        <v>163</v>
      </c>
      <c r="E10" s="676" t="s">
        <v>175</v>
      </c>
      <c r="F10" s="677"/>
      <c r="H10" s="401"/>
      <c r="I10" s="401"/>
      <c r="J10" s="398"/>
      <c r="O10" s="400"/>
      <c r="P10" s="400"/>
      <c r="Q10" s="400"/>
    </row>
    <row r="11" spans="2:17" ht="13.5">
      <c r="B11" s="394" t="s">
        <v>165</v>
      </c>
      <c r="E11" s="682" t="str">
        <f>Orçamento!A81</f>
        <v>SINAPI 06/2022</v>
      </c>
      <c r="F11" s="679"/>
      <c r="H11" s="401"/>
      <c r="I11" s="401"/>
      <c r="J11" s="398"/>
      <c r="O11" s="400"/>
      <c r="P11" s="400"/>
      <c r="Q11" s="400"/>
    </row>
    <row r="12" spans="2:17" ht="13.5">
      <c r="B12" s="394"/>
      <c r="E12" s="401"/>
      <c r="F12" s="401"/>
      <c r="H12" s="401"/>
      <c r="I12" s="401"/>
      <c r="J12" s="398"/>
      <c r="O12" s="400"/>
      <c r="P12" s="400"/>
      <c r="Q12" s="400"/>
    </row>
    <row r="13" spans="2:22" ht="13.5">
      <c r="B13" s="394" t="s">
        <v>166</v>
      </c>
      <c r="E13" s="675" t="s">
        <v>548</v>
      </c>
      <c r="F13" s="675"/>
      <c r="H13" s="401"/>
      <c r="I13" s="401"/>
      <c r="J13" s="398"/>
      <c r="O13" s="400"/>
      <c r="P13" s="400"/>
      <c r="Q13" s="403" t="s">
        <v>157</v>
      </c>
      <c r="R13" s="403" t="s">
        <v>175</v>
      </c>
      <c r="S13" s="403" t="s">
        <v>167</v>
      </c>
      <c r="T13" s="403" t="s">
        <v>173</v>
      </c>
      <c r="U13" s="403" t="s">
        <v>178</v>
      </c>
      <c r="V13" s="403" t="s">
        <v>188</v>
      </c>
    </row>
    <row r="14" spans="2:22" ht="13.5">
      <c r="B14" s="674" t="s">
        <v>167</v>
      </c>
      <c r="C14" s="674"/>
      <c r="D14" s="674"/>
      <c r="E14" s="675" t="s">
        <v>549</v>
      </c>
      <c r="F14" s="675"/>
      <c r="H14" s="397" t="s">
        <v>168</v>
      </c>
      <c r="I14" s="397" t="s">
        <v>169</v>
      </c>
      <c r="J14" s="398"/>
      <c r="O14" s="400"/>
      <c r="P14" s="400"/>
      <c r="Q14" s="403" t="s">
        <v>158</v>
      </c>
      <c r="R14" s="403" t="s">
        <v>164</v>
      </c>
      <c r="S14" s="403" t="s">
        <v>261</v>
      </c>
      <c r="T14" s="403" t="s">
        <v>174</v>
      </c>
      <c r="U14" s="403" t="s">
        <v>179</v>
      </c>
      <c r="V14" s="403" t="s">
        <v>183</v>
      </c>
    </row>
    <row r="15" spans="2:22" ht="13.5">
      <c r="B15" s="404"/>
      <c r="C15" s="404"/>
      <c r="D15" s="404"/>
      <c r="E15" s="405"/>
      <c r="F15" s="405"/>
      <c r="H15" s="397"/>
      <c r="I15" s="397"/>
      <c r="J15" s="398"/>
      <c r="O15" s="400"/>
      <c r="P15" s="400"/>
      <c r="Q15" s="403"/>
      <c r="R15" s="403"/>
      <c r="S15" s="403"/>
      <c r="T15" s="403"/>
      <c r="U15" s="403"/>
      <c r="V15" s="403" t="s">
        <v>195</v>
      </c>
    </row>
    <row r="16" spans="2:22" ht="13.5">
      <c r="B16" s="394" t="s">
        <v>170</v>
      </c>
      <c r="E16" s="675" t="s">
        <v>556</v>
      </c>
      <c r="F16" s="675"/>
      <c r="H16" s="397"/>
      <c r="I16" s="397"/>
      <c r="J16" s="398"/>
      <c r="O16" s="400"/>
      <c r="P16" s="400"/>
      <c r="Q16" s="403"/>
      <c r="R16" s="403"/>
      <c r="S16" s="403"/>
      <c r="T16" s="403"/>
      <c r="U16" s="403"/>
      <c r="V16" s="403" t="s">
        <v>199</v>
      </c>
    </row>
    <row r="17" spans="2:22" ht="13.5">
      <c r="B17" s="394" t="s">
        <v>171</v>
      </c>
      <c r="E17" s="675" t="s">
        <v>557</v>
      </c>
      <c r="F17" s="675"/>
      <c r="H17" s="397"/>
      <c r="I17" s="397"/>
      <c r="J17" s="398"/>
      <c r="O17" s="400"/>
      <c r="P17" s="400"/>
      <c r="Q17" s="403"/>
      <c r="R17" s="403"/>
      <c r="S17" s="403"/>
      <c r="T17" s="403"/>
      <c r="U17" s="403"/>
      <c r="V17" s="403" t="s">
        <v>203</v>
      </c>
    </row>
    <row r="18" spans="8:22" ht="13.5">
      <c r="H18" s="397"/>
      <c r="I18" s="397"/>
      <c r="J18" s="398"/>
      <c r="O18" s="400"/>
      <c r="P18" s="400"/>
      <c r="Q18" s="403"/>
      <c r="R18" s="403"/>
      <c r="S18" s="403"/>
      <c r="T18" s="403"/>
      <c r="U18" s="403"/>
      <c r="V18" s="403" t="s">
        <v>207</v>
      </c>
    </row>
    <row r="19" spans="2:17" ht="13.5">
      <c r="B19" s="394" t="s">
        <v>172</v>
      </c>
      <c r="E19" s="675" t="s">
        <v>173</v>
      </c>
      <c r="F19" s="675"/>
      <c r="G19" s="389" t="s">
        <v>173</v>
      </c>
      <c r="H19" s="389" t="s">
        <v>174</v>
      </c>
      <c r="I19" s="391"/>
      <c r="J19" s="398"/>
      <c r="L19" s="389" t="s">
        <v>175</v>
      </c>
      <c r="M19" s="389" t="s">
        <v>164</v>
      </c>
      <c r="O19" s="400"/>
      <c r="P19" s="400"/>
      <c r="Q19" s="400"/>
    </row>
    <row r="20" spans="2:17" ht="13.5">
      <c r="B20" s="394"/>
      <c r="E20" s="394"/>
      <c r="F20" s="393"/>
      <c r="H20" s="393"/>
      <c r="I20" s="393"/>
      <c r="J20" s="398"/>
      <c r="O20" s="400"/>
      <c r="P20" s="400"/>
      <c r="Q20" s="400"/>
    </row>
    <row r="21" spans="2:17" ht="13.5">
      <c r="B21" s="394" t="s">
        <v>176</v>
      </c>
      <c r="E21" s="406">
        <v>2</v>
      </c>
      <c r="F21" s="393" t="s">
        <v>42</v>
      </c>
      <c r="G21" s="389">
        <v>2</v>
      </c>
      <c r="H21" s="391">
        <v>5</v>
      </c>
      <c r="I21" s="391"/>
      <c r="J21" s="398"/>
      <c r="O21" s="400"/>
      <c r="P21" s="400"/>
      <c r="Q21" s="400"/>
    </row>
    <row r="22" spans="2:17" ht="13.5">
      <c r="B22" s="394" t="s">
        <v>177</v>
      </c>
      <c r="E22" s="676" t="s">
        <v>178</v>
      </c>
      <c r="F22" s="677"/>
      <c r="G22" s="389"/>
      <c r="H22" s="397"/>
      <c r="I22" s="397"/>
      <c r="J22" s="398"/>
      <c r="L22" s="389" t="s">
        <v>179</v>
      </c>
      <c r="M22" s="389" t="s">
        <v>178</v>
      </c>
      <c r="O22" s="400"/>
      <c r="P22" s="400"/>
      <c r="Q22" s="400"/>
    </row>
    <row r="23" spans="2:17" ht="12.75" customHeight="1">
      <c r="B23" s="661" t="s">
        <v>180</v>
      </c>
      <c r="C23" s="661"/>
      <c r="D23" s="661"/>
      <c r="E23" s="407">
        <v>20</v>
      </c>
      <c r="F23" s="393" t="s">
        <v>42</v>
      </c>
      <c r="H23" s="393"/>
      <c r="I23" s="393"/>
      <c r="J23" s="398"/>
      <c r="O23" s="400"/>
      <c r="P23" s="400"/>
      <c r="Q23" s="400"/>
    </row>
    <row r="24" spans="2:17" ht="13.5">
      <c r="B24" s="661"/>
      <c r="C24" s="661"/>
      <c r="D24" s="661"/>
      <c r="G24" s="393"/>
      <c r="H24" s="408"/>
      <c r="I24" s="393"/>
      <c r="J24" s="398"/>
      <c r="O24" s="400"/>
      <c r="P24" s="400"/>
      <c r="Q24" s="400"/>
    </row>
    <row r="25" spans="2:17" ht="5.25" customHeight="1">
      <c r="B25" s="661"/>
      <c r="C25" s="661"/>
      <c r="D25" s="661"/>
      <c r="G25" s="393"/>
      <c r="H25" s="408"/>
      <c r="I25" s="393"/>
      <c r="J25" s="398"/>
      <c r="O25" s="400"/>
      <c r="P25" s="400"/>
      <c r="Q25" s="400"/>
    </row>
    <row r="26" spans="2:17" ht="5.25" customHeight="1">
      <c r="B26" s="661"/>
      <c r="C26" s="661"/>
      <c r="D26" s="661"/>
      <c r="J26" s="400"/>
      <c r="O26" s="400"/>
      <c r="P26" s="400"/>
      <c r="Q26" s="400"/>
    </row>
    <row r="27" ht="5.25" customHeight="1"/>
    <row r="28" ht="5.25" customHeight="1" thickBot="1"/>
    <row r="29" spans="2:17" ht="15.75" thickBot="1">
      <c r="B29" s="662" t="s">
        <v>181</v>
      </c>
      <c r="C29" s="663"/>
      <c r="D29" s="663"/>
      <c r="E29" s="663"/>
      <c r="F29" s="663"/>
      <c r="G29" s="663"/>
      <c r="H29" s="663"/>
      <c r="I29" s="664"/>
      <c r="O29" s="389"/>
      <c r="P29" s="389"/>
      <c r="Q29" s="389"/>
    </row>
    <row r="30" spans="15:17" ht="6" customHeight="1" thickBot="1">
      <c r="O30" s="389"/>
      <c r="P30" s="389"/>
      <c r="Q30" s="389"/>
    </row>
    <row r="31" spans="2:17" ht="26.25" customHeight="1" thickBot="1">
      <c r="B31" s="665" t="s">
        <v>182</v>
      </c>
      <c r="C31" s="666"/>
      <c r="D31" s="667" t="s">
        <v>183</v>
      </c>
      <c r="E31" s="667"/>
      <c r="F31" s="667"/>
      <c r="G31" s="667"/>
      <c r="H31" s="667"/>
      <c r="I31" s="668"/>
      <c r="O31" s="389"/>
      <c r="P31" s="389"/>
      <c r="Q31" s="389"/>
    </row>
    <row r="32" spans="15:17" ht="5.25" customHeight="1" thickBot="1">
      <c r="O32" s="389"/>
      <c r="P32" s="389"/>
      <c r="Q32" s="389"/>
    </row>
    <row r="33" spans="2:17" ht="14.25" thickBot="1">
      <c r="B33" s="669" t="s">
        <v>184</v>
      </c>
      <c r="C33" s="670"/>
      <c r="D33" s="670"/>
      <c r="E33" s="670"/>
      <c r="F33" s="670"/>
      <c r="G33" s="409" t="s">
        <v>185</v>
      </c>
      <c r="H33" s="409" t="s">
        <v>186</v>
      </c>
      <c r="I33" s="410" t="s">
        <v>187</v>
      </c>
      <c r="M33" s="389" t="s">
        <v>188</v>
      </c>
      <c r="O33" s="389"/>
      <c r="P33" s="389" t="s">
        <v>189</v>
      </c>
      <c r="Q33" s="389" t="s">
        <v>187</v>
      </c>
    </row>
    <row r="34" spans="2:17" ht="13.5">
      <c r="B34" s="411" t="s">
        <v>190</v>
      </c>
      <c r="C34" s="671" t="s">
        <v>191</v>
      </c>
      <c r="D34" s="672"/>
      <c r="E34" s="672"/>
      <c r="F34" s="673"/>
      <c r="G34" s="412">
        <v>4.67</v>
      </c>
      <c r="H34" s="413">
        <f>VLOOKUP(J34,$O$34:$Q$74,2,FALSE)</f>
        <v>3.8</v>
      </c>
      <c r="I34" s="413">
        <f>VLOOKUP(J34,$O$34:$Q$74,3,FALSE)</f>
        <v>4.67</v>
      </c>
      <c r="J34" s="389" t="str">
        <f>CONCATENATE(LEFT($D$31,1),"a")</f>
        <v>2a</v>
      </c>
      <c r="K34" s="389">
        <v>0</v>
      </c>
      <c r="L34" s="389">
        <f>IF($G$51&gt;$I$51,I34,10000)</f>
        <v>10000</v>
      </c>
      <c r="M34" s="389" t="s">
        <v>183</v>
      </c>
      <c r="O34" s="389" t="s">
        <v>192</v>
      </c>
      <c r="P34" s="414">
        <v>3</v>
      </c>
      <c r="Q34" s="414">
        <v>5.5</v>
      </c>
    </row>
    <row r="35" spans="2:17" ht="13.5">
      <c r="B35" s="415" t="s">
        <v>193</v>
      </c>
      <c r="C35" s="649" t="s">
        <v>194</v>
      </c>
      <c r="D35" s="650"/>
      <c r="E35" s="650"/>
      <c r="F35" s="651"/>
      <c r="G35" s="412">
        <v>0.74</v>
      </c>
      <c r="H35" s="413">
        <f>VLOOKUP(J35,$O$34:$Q$74,2,FALSE)</f>
        <v>0.32</v>
      </c>
      <c r="I35" s="413">
        <f>VLOOKUP(J35,$O$34:$Q$74,3,FALSE)</f>
        <v>0.74</v>
      </c>
      <c r="J35" s="389" t="str">
        <f>CONCATENATE(LEFT($D$31,1),"b")</f>
        <v>2b</v>
      </c>
      <c r="K35" s="389">
        <v>0</v>
      </c>
      <c r="L35" s="389">
        <f>IF($G$51&gt;$I$51,I35,10000)</f>
        <v>10000</v>
      </c>
      <c r="M35" s="389" t="s">
        <v>195</v>
      </c>
      <c r="O35" s="389" t="s">
        <v>196</v>
      </c>
      <c r="P35" s="414">
        <v>0.8</v>
      </c>
      <c r="Q35" s="414">
        <v>1</v>
      </c>
    </row>
    <row r="36" spans="2:17" ht="13.5">
      <c r="B36" s="415" t="s">
        <v>197</v>
      </c>
      <c r="C36" s="649" t="s">
        <v>198</v>
      </c>
      <c r="D36" s="650"/>
      <c r="E36" s="650"/>
      <c r="F36" s="651"/>
      <c r="G36" s="412">
        <v>0.56</v>
      </c>
      <c r="H36" s="413">
        <f>VLOOKUP(J36,$O$34:$Q$74,2,FALSE)</f>
        <v>0.5</v>
      </c>
      <c r="I36" s="413">
        <f>VLOOKUP(J36,$O$34:$Q$74,3,FALSE)</f>
        <v>0.97</v>
      </c>
      <c r="J36" s="389" t="str">
        <f>CONCATENATE(LEFT($D$31,1),"c")</f>
        <v>2c</v>
      </c>
      <c r="K36" s="389">
        <v>0</v>
      </c>
      <c r="L36" s="389">
        <f>IF($G$51&gt;$I$51,I36,10000)</f>
        <v>10000</v>
      </c>
      <c r="M36" s="389" t="s">
        <v>199</v>
      </c>
      <c r="O36" s="389" t="s">
        <v>200</v>
      </c>
      <c r="P36" s="414">
        <v>0.97</v>
      </c>
      <c r="Q36" s="414">
        <v>1.27</v>
      </c>
    </row>
    <row r="37" spans="2:17" ht="13.5">
      <c r="B37" s="415" t="s">
        <v>201</v>
      </c>
      <c r="C37" s="649" t="s">
        <v>202</v>
      </c>
      <c r="D37" s="650"/>
      <c r="E37" s="650"/>
      <c r="F37" s="651"/>
      <c r="G37" s="412">
        <v>1.11</v>
      </c>
      <c r="H37" s="413">
        <f>VLOOKUP(J37,$O$34:$Q$74,2,FALSE)</f>
        <v>1.02</v>
      </c>
      <c r="I37" s="413">
        <f>VLOOKUP(J37,$O$34:$Q$74,3,FALSE)</f>
        <v>1.21</v>
      </c>
      <c r="J37" s="389" t="str">
        <f>CONCATENATE(LEFT($D$31,1),"d")</f>
        <v>2d</v>
      </c>
      <c r="K37" s="389">
        <v>0</v>
      </c>
      <c r="L37" s="389">
        <f>IF($G$51&gt;$I$51,I37,10000)</f>
        <v>10000</v>
      </c>
      <c r="M37" s="389" t="s">
        <v>203</v>
      </c>
      <c r="O37" s="389" t="s">
        <v>204</v>
      </c>
      <c r="P37" s="414">
        <v>0.59</v>
      </c>
      <c r="Q37" s="414">
        <v>1.39</v>
      </c>
    </row>
    <row r="38" spans="2:17" ht="13.5">
      <c r="B38" s="415" t="s">
        <v>205</v>
      </c>
      <c r="C38" s="649" t="s">
        <v>206</v>
      </c>
      <c r="D38" s="650"/>
      <c r="E38" s="650"/>
      <c r="F38" s="651"/>
      <c r="G38" s="412">
        <v>7.3</v>
      </c>
      <c r="H38" s="413">
        <f>VLOOKUP(J38,$O$34:$Q$74,2,FALSE)</f>
        <v>6.64</v>
      </c>
      <c r="I38" s="413">
        <f>VLOOKUP(J38,$O$34:$Q$74,3,FALSE)</f>
        <v>8.69</v>
      </c>
      <c r="J38" s="389" t="str">
        <f>CONCATENATE(LEFT($D$31,1),"e")</f>
        <v>2e</v>
      </c>
      <c r="K38" s="389">
        <v>0</v>
      </c>
      <c r="L38" s="389">
        <f>IF($G$51&gt;$I$51,I38,10000)</f>
        <v>10000</v>
      </c>
      <c r="M38" s="389" t="s">
        <v>207</v>
      </c>
      <c r="O38" s="389" t="s">
        <v>208</v>
      </c>
      <c r="P38" s="414">
        <v>6.16</v>
      </c>
      <c r="Q38" s="414">
        <v>8.96</v>
      </c>
    </row>
    <row r="39" spans="2:17" ht="13.5">
      <c r="B39" s="415" t="s">
        <v>209</v>
      </c>
      <c r="C39" s="652" t="s">
        <v>210</v>
      </c>
      <c r="D39" s="653"/>
      <c r="E39" s="653"/>
      <c r="F39" s="654"/>
      <c r="G39" s="419">
        <f>G40+G41+G42</f>
        <v>4.05</v>
      </c>
      <c r="H39" s="655" t="s">
        <v>211</v>
      </c>
      <c r="I39" s="656"/>
      <c r="O39" s="389" t="s">
        <v>212</v>
      </c>
      <c r="P39" s="414">
        <v>3.8</v>
      </c>
      <c r="Q39" s="414">
        <v>4.67</v>
      </c>
    </row>
    <row r="40" spans="2:17" ht="13.5">
      <c r="B40" s="415"/>
      <c r="C40" s="416"/>
      <c r="D40" s="417" t="s">
        <v>96</v>
      </c>
      <c r="E40" s="417"/>
      <c r="F40" s="420"/>
      <c r="G40" s="412">
        <v>0.65</v>
      </c>
      <c r="H40" s="657"/>
      <c r="I40" s="658"/>
      <c r="K40" s="389">
        <v>0</v>
      </c>
      <c r="L40" s="389">
        <f>IF($G$51&gt;$I$51,3,10000)</f>
        <v>10000</v>
      </c>
      <c r="O40" s="389"/>
      <c r="P40" s="414"/>
      <c r="Q40" s="414"/>
    </row>
    <row r="41" spans="2:17" ht="13.5">
      <c r="B41" s="415"/>
      <c r="C41" s="421"/>
      <c r="D41" s="422" t="s">
        <v>97</v>
      </c>
      <c r="E41" s="421"/>
      <c r="F41" s="423"/>
      <c r="G41" s="412">
        <v>3</v>
      </c>
      <c r="H41" s="657"/>
      <c r="I41" s="658"/>
      <c r="K41" s="389">
        <v>0</v>
      </c>
      <c r="L41" s="389">
        <f>IF($G$51&gt;$I$51,0.65,10000)</f>
        <v>10000</v>
      </c>
      <c r="O41" s="389"/>
      <c r="P41" s="414"/>
      <c r="Q41" s="414"/>
    </row>
    <row r="42" spans="2:17" ht="13.5">
      <c r="B42" s="415"/>
      <c r="C42" s="416"/>
      <c r="D42" s="418" t="s">
        <v>213</v>
      </c>
      <c r="E42" s="416"/>
      <c r="F42" s="420"/>
      <c r="G42" s="419">
        <f>IF(E22="valor total da obra",$E$21,$E$21*$E$23/100)</f>
        <v>0.4</v>
      </c>
      <c r="H42" s="657"/>
      <c r="I42" s="658"/>
      <c r="O42" s="389"/>
      <c r="P42" s="414"/>
      <c r="Q42" s="414"/>
    </row>
    <row r="43" spans="2:17" ht="13.5">
      <c r="B43" s="415"/>
      <c r="C43" s="416"/>
      <c r="D43" s="418" t="s">
        <v>214</v>
      </c>
      <c r="E43" s="416"/>
      <c r="F43" s="420"/>
      <c r="G43" s="419">
        <f>IF(E10="desonerados",4.5,0)</f>
        <v>0</v>
      </c>
      <c r="H43" s="657"/>
      <c r="I43" s="658"/>
      <c r="O43" s="389"/>
      <c r="P43" s="414"/>
      <c r="Q43" s="414"/>
    </row>
    <row r="44" spans="2:17" ht="13.5">
      <c r="B44" s="415" t="s">
        <v>209</v>
      </c>
      <c r="C44" s="649" t="s">
        <v>215</v>
      </c>
      <c r="D44" s="650"/>
      <c r="E44" s="650"/>
      <c r="F44" s="651"/>
      <c r="G44" s="419">
        <f>IF(E10="desonerados",SUM(G40:G43),G39)</f>
        <v>4.05</v>
      </c>
      <c r="H44" s="659"/>
      <c r="I44" s="660"/>
      <c r="O44" s="389" t="s">
        <v>216</v>
      </c>
      <c r="P44" s="414">
        <v>0.32</v>
      </c>
      <c r="Q44" s="414">
        <v>0.74</v>
      </c>
    </row>
    <row r="45" spans="15:17" ht="4.5" customHeight="1" thickBot="1">
      <c r="O45" s="389" t="s">
        <v>217</v>
      </c>
      <c r="P45" s="414">
        <v>0.5</v>
      </c>
      <c r="Q45" s="414">
        <v>0.97</v>
      </c>
    </row>
    <row r="46" spans="2:17" ht="14.25" thickBot="1">
      <c r="B46" s="638" t="s">
        <v>218</v>
      </c>
      <c r="C46" s="639"/>
      <c r="D46" s="639"/>
      <c r="E46" s="639"/>
      <c r="F46" s="639"/>
      <c r="G46" s="640"/>
      <c r="H46" s="424"/>
      <c r="O46" s="389" t="s">
        <v>219</v>
      </c>
      <c r="P46" s="414">
        <v>1.02</v>
      </c>
      <c r="Q46" s="414">
        <v>1.21</v>
      </c>
    </row>
    <row r="47" spans="2:17" ht="22.5" customHeight="1">
      <c r="B47" s="641"/>
      <c r="C47" s="643" t="s">
        <v>220</v>
      </c>
      <c r="D47" s="645" t="s">
        <v>221</v>
      </c>
      <c r="E47" s="645"/>
      <c r="F47" s="645"/>
      <c r="G47" s="646">
        <v>-1</v>
      </c>
      <c r="O47" s="389" t="s">
        <v>222</v>
      </c>
      <c r="P47" s="414">
        <v>6.64</v>
      </c>
      <c r="Q47" s="414">
        <v>8.69</v>
      </c>
    </row>
    <row r="48" spans="2:17" ht="21" customHeight="1" thickBot="1">
      <c r="B48" s="642"/>
      <c r="C48" s="644"/>
      <c r="D48" s="648" t="s">
        <v>223</v>
      </c>
      <c r="E48" s="648"/>
      <c r="F48" s="648"/>
      <c r="G48" s="647"/>
      <c r="O48" s="389" t="s">
        <v>224</v>
      </c>
      <c r="P48" s="414">
        <v>3.43</v>
      </c>
      <c r="Q48" s="414">
        <v>6.71</v>
      </c>
    </row>
    <row r="49" spans="15:17" ht="3" customHeight="1" thickBot="1">
      <c r="O49" s="389" t="s">
        <v>225</v>
      </c>
      <c r="P49" s="414">
        <v>0.28</v>
      </c>
      <c r="Q49" s="414">
        <v>0.75</v>
      </c>
    </row>
    <row r="50" spans="2:17" ht="15" customHeight="1" thickBot="1">
      <c r="B50" s="632" t="s">
        <v>226</v>
      </c>
      <c r="C50" s="633"/>
      <c r="D50" s="633"/>
      <c r="E50" s="633"/>
      <c r="F50" s="633"/>
      <c r="G50" s="633"/>
      <c r="H50" s="426" t="s">
        <v>186</v>
      </c>
      <c r="I50" s="427" t="s">
        <v>187</v>
      </c>
      <c r="O50" s="389" t="s">
        <v>227</v>
      </c>
      <c r="P50" s="414">
        <v>1</v>
      </c>
      <c r="Q50" s="414">
        <v>1.74</v>
      </c>
    </row>
    <row r="51" spans="2:17" ht="15">
      <c r="B51" s="634" t="str">
        <f>IF(G51&gt;I51,"BDI Sem Desoneração: ! FORA DOS LIMITES !",IF(G51&lt;H51,"BDI Sem Desoneração: ! FORA DOS LIMITES !","BDI Sem Desoneração:"))</f>
        <v>BDI Sem Desoneração:</v>
      </c>
      <c r="C51" s="634"/>
      <c r="D51" s="634"/>
      <c r="E51" s="634"/>
      <c r="F51" s="634"/>
      <c r="G51" s="428">
        <f>100*ROUND((((1+G34/100+G35/100+G36/100)*(1+G37/100)*(1+G38/100))/(1-G39/100))-1,4)</f>
        <v>19.82</v>
      </c>
      <c r="H51" s="413">
        <f>VLOOKUP(J51,$O$34:$Q$74,2,FALSE)</f>
        <v>19.6</v>
      </c>
      <c r="I51" s="413">
        <f>VLOOKUP(J51,$O$34:$Q$74,3,FALSE)</f>
        <v>24.23</v>
      </c>
      <c r="J51" s="389" t="str">
        <f>CONCATENATE(LEFT($D$31,1),"F")</f>
        <v>2F</v>
      </c>
      <c r="O51" s="389" t="s">
        <v>228</v>
      </c>
      <c r="P51" s="414">
        <v>0.94</v>
      </c>
      <c r="Q51" s="414">
        <v>1.17</v>
      </c>
    </row>
    <row r="52" spans="2:17" ht="15">
      <c r="B52" s="634" t="s">
        <v>229</v>
      </c>
      <c r="C52" s="634"/>
      <c r="D52" s="634"/>
      <c r="E52" s="634"/>
      <c r="F52" s="634"/>
      <c r="G52" s="429">
        <f>100*ROUND((((1+G34/100+G35/100+G36/100)*(1+G37/100)*(1+G38/100))/(1-G44/100))-1,4)</f>
        <v>19.82</v>
      </c>
      <c r="H52" s="415"/>
      <c r="I52" s="415"/>
      <c r="J52" s="389">
        <f>IF(G51&gt;I51,1,IF(G51&lt;H51,1,0))</f>
        <v>0</v>
      </c>
      <c r="O52" s="389" t="s">
        <v>230</v>
      </c>
      <c r="P52" s="414">
        <v>6.74</v>
      </c>
      <c r="Q52" s="414">
        <v>9.4</v>
      </c>
    </row>
    <row r="53" spans="2:17" ht="9" customHeight="1">
      <c r="B53" s="430"/>
      <c r="C53" s="430"/>
      <c r="D53" s="430"/>
      <c r="E53" s="430"/>
      <c r="F53" s="430"/>
      <c r="G53" s="431"/>
      <c r="H53" s="408"/>
      <c r="I53" s="408"/>
      <c r="J53" s="389"/>
      <c r="O53" s="389"/>
      <c r="P53" s="414"/>
      <c r="Q53" s="414"/>
    </row>
    <row r="54" spans="2:17" ht="71.25" customHeight="1">
      <c r="B54" s="635" t="s">
        <v>231</v>
      </c>
      <c r="C54" s="635"/>
      <c r="D54" s="635"/>
      <c r="E54" s="635"/>
      <c r="F54" s="635"/>
      <c r="G54" s="635"/>
      <c r="H54" s="635"/>
      <c r="I54" s="635"/>
      <c r="O54" s="389"/>
      <c r="P54" s="414"/>
      <c r="Q54" s="414"/>
    </row>
    <row r="55" spans="2:17" ht="46.5" customHeight="1">
      <c r="B55" s="636" t="s">
        <v>232</v>
      </c>
      <c r="C55" s="636"/>
      <c r="D55" s="636"/>
      <c r="E55" s="636"/>
      <c r="F55" s="636"/>
      <c r="G55" s="636"/>
      <c r="H55" s="636"/>
      <c r="I55" s="636"/>
      <c r="O55" s="389" t="s">
        <v>233</v>
      </c>
      <c r="P55" s="414">
        <v>0.25</v>
      </c>
      <c r="Q55" s="414">
        <v>0.56</v>
      </c>
    </row>
    <row r="56" spans="2:17" ht="11.25" customHeight="1">
      <c r="B56" s="637" t="s">
        <v>234</v>
      </c>
      <c r="C56" s="637"/>
      <c r="D56" s="637"/>
      <c r="E56" s="637"/>
      <c r="F56" s="637"/>
      <c r="G56" s="637"/>
      <c r="H56" s="637"/>
      <c r="I56" s="637"/>
      <c r="O56" s="389" t="s">
        <v>235</v>
      </c>
      <c r="P56" s="414">
        <v>1</v>
      </c>
      <c r="Q56" s="414">
        <v>1.97</v>
      </c>
    </row>
    <row r="57" spans="2:17" ht="15.75" customHeight="1">
      <c r="B57" s="637"/>
      <c r="C57" s="637"/>
      <c r="D57" s="637"/>
      <c r="E57" s="637"/>
      <c r="F57" s="637"/>
      <c r="G57" s="637"/>
      <c r="H57" s="637"/>
      <c r="I57" s="637"/>
      <c r="O57" s="389" t="s">
        <v>236</v>
      </c>
      <c r="P57" s="414">
        <v>1.01</v>
      </c>
      <c r="Q57" s="414">
        <v>1.11</v>
      </c>
    </row>
    <row r="58" spans="15:17" ht="68.25" customHeight="1">
      <c r="O58" s="389" t="s">
        <v>237</v>
      </c>
      <c r="P58" s="414">
        <v>8</v>
      </c>
      <c r="Q58" s="414">
        <v>9.51</v>
      </c>
    </row>
    <row r="59" spans="15:17" ht="68.25" customHeight="1">
      <c r="O59" s="389" t="s">
        <v>238</v>
      </c>
      <c r="P59" s="414">
        <v>4</v>
      </c>
      <c r="Q59" s="414">
        <v>7.85</v>
      </c>
    </row>
    <row r="60" spans="15:17" ht="13.5">
      <c r="O60" s="389" t="s">
        <v>239</v>
      </c>
      <c r="P60" s="414">
        <v>0.81</v>
      </c>
      <c r="Q60" s="414">
        <v>1.99</v>
      </c>
    </row>
    <row r="61" spans="15:17" ht="13.5">
      <c r="O61" s="389" t="s">
        <v>240</v>
      </c>
      <c r="P61" s="414">
        <v>1.46</v>
      </c>
      <c r="Q61" s="414">
        <v>3.16</v>
      </c>
    </row>
    <row r="62" spans="15:17" ht="13.5">
      <c r="O62" s="389" t="s">
        <v>241</v>
      </c>
      <c r="P62" s="414">
        <v>0.94</v>
      </c>
      <c r="Q62" s="414">
        <v>1.33</v>
      </c>
    </row>
    <row r="63" spans="15:17" ht="13.5">
      <c r="O63" s="389" t="s">
        <v>242</v>
      </c>
      <c r="P63" s="414">
        <v>7.14</v>
      </c>
      <c r="Q63" s="414">
        <v>10.43</v>
      </c>
    </row>
    <row r="64" spans="15:17" ht="13.5">
      <c r="O64" s="389" t="s">
        <v>243</v>
      </c>
      <c r="P64" s="414">
        <v>1.5</v>
      </c>
      <c r="Q64" s="414">
        <v>4.49</v>
      </c>
    </row>
    <row r="65" spans="15:17" ht="13.5">
      <c r="O65" s="389" t="s">
        <v>244</v>
      </c>
      <c r="P65" s="414">
        <v>0.3</v>
      </c>
      <c r="Q65" s="414">
        <v>0.82</v>
      </c>
    </row>
    <row r="66" spans="15:17" ht="13.5">
      <c r="O66" s="389" t="s">
        <v>245</v>
      </c>
      <c r="P66" s="414">
        <v>0.56</v>
      </c>
      <c r="Q66" s="414">
        <v>0.89</v>
      </c>
    </row>
    <row r="67" spans="15:17" ht="13.5">
      <c r="O67" s="389" t="s">
        <v>246</v>
      </c>
      <c r="P67" s="414">
        <v>0.85</v>
      </c>
      <c r="Q67" s="414">
        <v>1.11</v>
      </c>
    </row>
    <row r="68" spans="15:17" ht="13.5">
      <c r="O68" s="389" t="s">
        <v>247</v>
      </c>
      <c r="P68" s="414">
        <v>3.5</v>
      </c>
      <c r="Q68" s="414">
        <v>6.22</v>
      </c>
    </row>
    <row r="69" spans="15:17" ht="13.5">
      <c r="O69" s="389" t="s">
        <v>248</v>
      </c>
      <c r="P69" s="414">
        <v>20.34</v>
      </c>
      <c r="Q69" s="414">
        <v>25</v>
      </c>
    </row>
    <row r="70" spans="15:17" ht="13.5">
      <c r="O70" s="389" t="s">
        <v>249</v>
      </c>
      <c r="P70" s="414">
        <v>19.6</v>
      </c>
      <c r="Q70" s="414">
        <v>24.23</v>
      </c>
    </row>
    <row r="71" spans="15:17" ht="13.5">
      <c r="O71" s="389" t="s">
        <v>250</v>
      </c>
      <c r="P71" s="414">
        <v>20.76</v>
      </c>
      <c r="Q71" s="414">
        <v>26.44</v>
      </c>
    </row>
    <row r="72" spans="15:17" ht="13.5">
      <c r="O72" s="389" t="s">
        <v>251</v>
      </c>
      <c r="P72" s="414">
        <v>24</v>
      </c>
      <c r="Q72" s="414">
        <v>27.86</v>
      </c>
    </row>
    <row r="73" spans="15:17" ht="13.5">
      <c r="O73" s="389" t="s">
        <v>252</v>
      </c>
      <c r="P73" s="414">
        <v>22.8</v>
      </c>
      <c r="Q73" s="414">
        <v>30.95</v>
      </c>
    </row>
    <row r="74" spans="15:17" ht="13.5">
      <c r="O74" s="389" t="s">
        <v>253</v>
      </c>
      <c r="P74" s="414">
        <v>11.1</v>
      </c>
      <c r="Q74" s="414">
        <v>16.8</v>
      </c>
    </row>
    <row r="75" spans="15:17" ht="13.5">
      <c r="O75" s="389"/>
      <c r="P75" s="389"/>
      <c r="Q75" s="389"/>
    </row>
    <row r="76" spans="15:17" ht="13.5">
      <c r="O76" s="389"/>
      <c r="P76" s="389"/>
      <c r="Q76" s="389"/>
    </row>
    <row r="77" spans="15:17" ht="13.5">
      <c r="O77" s="389"/>
      <c r="P77" s="389"/>
      <c r="Q77" s="389"/>
    </row>
    <row r="78" spans="15:17" ht="13.5">
      <c r="O78" s="389"/>
      <c r="P78" s="389"/>
      <c r="Q78" s="389"/>
    </row>
    <row r="79" spans="15:17" ht="13.5">
      <c r="O79" s="389"/>
      <c r="P79" s="389"/>
      <c r="Q79" s="389"/>
    </row>
    <row r="80" spans="15:17" ht="13.5">
      <c r="O80" s="389"/>
      <c r="P80" s="389"/>
      <c r="Q80" s="389"/>
    </row>
    <row r="81" spans="15:17" ht="13.5">
      <c r="O81" s="389"/>
      <c r="P81" s="389"/>
      <c r="Q81" s="389"/>
    </row>
    <row r="82" spans="15:17" ht="13.5">
      <c r="O82" s="389"/>
      <c r="P82" s="389"/>
      <c r="Q82" s="389"/>
    </row>
    <row r="83" spans="15:17" ht="13.5">
      <c r="O83" s="389"/>
      <c r="P83" s="389"/>
      <c r="Q83" s="389"/>
    </row>
    <row r="84" spans="15:17" ht="13.5">
      <c r="O84" s="389"/>
      <c r="P84" s="389"/>
      <c r="Q84" s="389"/>
    </row>
    <row r="85" spans="15:17" ht="13.5">
      <c r="O85" s="389"/>
      <c r="P85" s="389"/>
      <c r="Q85" s="389"/>
    </row>
    <row r="86" spans="15:17" ht="13.5">
      <c r="O86" s="389"/>
      <c r="P86" s="389"/>
      <c r="Q86" s="389"/>
    </row>
    <row r="87" spans="15:17" ht="13.5">
      <c r="O87" s="389"/>
      <c r="P87" s="389"/>
      <c r="Q87" s="389"/>
    </row>
    <row r="88" spans="15:17" ht="13.5">
      <c r="O88" s="389"/>
      <c r="P88" s="389"/>
      <c r="Q88" s="389"/>
    </row>
    <row r="89" spans="15:17" ht="13.5">
      <c r="O89" s="389"/>
      <c r="P89" s="389"/>
      <c r="Q89" s="389"/>
    </row>
  </sheetData>
  <sheetProtection/>
  <mergeCells count="37">
    <mergeCell ref="E7:F7"/>
    <mergeCell ref="E8:F8"/>
    <mergeCell ref="E9:F9"/>
    <mergeCell ref="E10:F10"/>
    <mergeCell ref="E11:F11"/>
    <mergeCell ref="E13:F13"/>
    <mergeCell ref="B14:D14"/>
    <mergeCell ref="E14:F14"/>
    <mergeCell ref="E16:F16"/>
    <mergeCell ref="E17:F17"/>
    <mergeCell ref="E19:F19"/>
    <mergeCell ref="E22:F22"/>
    <mergeCell ref="B23:D26"/>
    <mergeCell ref="B29:I29"/>
    <mergeCell ref="B31:C31"/>
    <mergeCell ref="D31:I31"/>
    <mergeCell ref="B33:F33"/>
    <mergeCell ref="C34:F34"/>
    <mergeCell ref="C35:F35"/>
    <mergeCell ref="C36:F36"/>
    <mergeCell ref="C37:F37"/>
    <mergeCell ref="C38:F38"/>
    <mergeCell ref="C39:F39"/>
    <mergeCell ref="H39:I44"/>
    <mergeCell ref="C44:F44"/>
    <mergeCell ref="B46:G46"/>
    <mergeCell ref="B47:B48"/>
    <mergeCell ref="C47:C48"/>
    <mergeCell ref="D47:F47"/>
    <mergeCell ref="G47:G48"/>
    <mergeCell ref="D48:F48"/>
    <mergeCell ref="B50:G50"/>
    <mergeCell ref="B51:F51"/>
    <mergeCell ref="B52:F52"/>
    <mergeCell ref="B54:I54"/>
    <mergeCell ref="B55:I55"/>
    <mergeCell ref="B56:I57"/>
  </mergeCells>
  <conditionalFormatting sqref="G34:G38 E21">
    <cfRule type="cellIs" priority="2" dxfId="12" operator="notBetween" stopIfTrue="1">
      <formula>$H21</formula>
      <formula>$I21</formula>
    </cfRule>
  </conditionalFormatting>
  <conditionalFormatting sqref="G51">
    <cfRule type="cellIs" priority="3" dxfId="13" operator="notBetween" stopIfTrue="1">
      <formula>$H$51</formula>
      <formula>$I$51</formula>
    </cfRule>
  </conditionalFormatting>
  <conditionalFormatting sqref="B51:F51">
    <cfRule type="expression" priority="4" dxfId="14" stopIfTrue="1">
      <formula>$J$52=1</formula>
    </cfRule>
  </conditionalFormatting>
  <conditionalFormatting sqref="E23 H23 B23">
    <cfRule type="expression" priority="5" dxfId="15" stopIfTrue="1">
      <formula>$E$22="valor total da obra"</formula>
    </cfRule>
  </conditionalFormatting>
  <conditionalFormatting sqref="B54:I54">
    <cfRule type="expression" priority="1" dxfId="16" stopIfTrue="1">
      <formula>$G$51&gt;$I$51</formula>
    </cfRule>
  </conditionalFormatting>
  <conditionalFormatting sqref="F5">
    <cfRule type="expression" priority="6" dxfId="17" stopIfTrue="1">
      <formula>$E$6=0</formula>
    </cfRule>
  </conditionalFormatting>
  <dataValidations count="9">
    <dataValidation type="list" allowBlank="1" showInputMessage="1" showErrorMessage="1" sqref="E6">
      <formula1>$Q$13:$Q$14</formula1>
    </dataValidation>
    <dataValidation type="list" allowBlank="1" showInputMessage="1" showErrorMessage="1" sqref="B15:D15">
      <formula1>CREACAU</formula1>
    </dataValidation>
    <dataValidation type="decimal" allowBlank="1" showInputMessage="1" showErrorMessage="1" error="O valor inserido está fora dos limites estabelecidos pelo acórdão 2622/2013 do TCU ou é inválido." sqref="G40:G41 G34:G38">
      <formula1>K40</formula1>
      <formula2>L40</formula2>
    </dataValidation>
    <dataValidation type="decimal" allowBlank="1" showInputMessage="1" showErrorMessage="1" sqref="E21">
      <formula1>G21</formula1>
      <formula2>H21</formula2>
    </dataValidation>
    <dataValidation type="list" allowBlank="1" showInputMessage="1" showErrorMessage="1" sqref="E10:F10">
      <formula1>$R$13:$R$14</formula1>
    </dataValidation>
    <dataValidation type="list" allowBlank="1" showInputMessage="1" showErrorMessage="1" sqref="B14:D14">
      <formula1>$S$13:$S$14</formula1>
    </dataValidation>
    <dataValidation type="list" allowBlank="1" showInputMessage="1" showErrorMessage="1" sqref="E19:F19">
      <formula1>$T$13:$T$14</formula1>
    </dataValidation>
    <dataValidation type="list" allowBlank="1" showInputMessage="1" showErrorMessage="1" sqref="E22:F22">
      <formula1>$U$13:$U$14</formula1>
    </dataValidation>
    <dataValidation type="list" allowBlank="1" showInputMessage="1" showErrorMessage="1" sqref="D31:I31">
      <formula1>$V$13:$V$18</formula1>
    </dataValidation>
  </dataValidations>
  <printOptions/>
  <pageMargins left="0.787401575" right="0.787401575" top="0.984251969" bottom="0.984251969" header="0.492125985" footer="0.49212598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CRISTIANO</dc:creator>
  <cp:keywords/>
  <dc:description/>
  <cp:lastModifiedBy>rossa</cp:lastModifiedBy>
  <cp:lastPrinted>2022-10-25T14:10:20Z</cp:lastPrinted>
  <dcterms:created xsi:type="dcterms:W3CDTF">2006-07-20T13:36:46Z</dcterms:created>
  <dcterms:modified xsi:type="dcterms:W3CDTF">2022-10-25T14:31:01Z</dcterms:modified>
  <cp:category/>
  <cp:version/>
  <cp:contentType/>
  <cp:contentStatus/>
</cp:coreProperties>
</file>