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" windowWidth="11340" windowHeight="6540" tabRatio="813" activeTab="0"/>
  </bookViews>
  <sheets>
    <sheet name="Orçamento" sheetId="1" r:id="rId1"/>
    <sheet name="Memoria Calculo" sheetId="2" r:id="rId2"/>
    <sheet name="Cronograma" sheetId="3" r:id="rId3"/>
    <sheet name="Composições" sheetId="4" r:id="rId4"/>
    <sheet name="Volumes" sheetId="5" r:id="rId5"/>
    <sheet name="Larguras" sheetId="6" r:id="rId6"/>
    <sheet name="Drenagem" sheetId="7" r:id="rId7"/>
    <sheet name="Sinalização" sheetId="8" r:id="rId8"/>
    <sheet name="BDI Composição" sheetId="9" state="hidden" r:id="rId9"/>
    <sheet name="BDI Composição - declaração" sheetId="10" r:id="rId10"/>
    <sheet name="BDI Insumos" sheetId="11" state="hidden" r:id="rId11"/>
    <sheet name="BDI Insumos - declaração" sheetId="12" r:id="rId12"/>
    <sheet name="Encargos socias" sheetId="13" r:id="rId13"/>
  </sheets>
  <externalReferences>
    <externalReference r:id="rId16"/>
    <externalReference r:id="rId17"/>
    <externalReference r:id="rId18"/>
  </externalReferences>
  <definedNames>
    <definedName name="_xlfn.ARABIC" hidden="1">#NAME?</definedName>
    <definedName name="_xlfn.COUNTIFS" hidden="1">#NAME?</definedName>
    <definedName name="_xlfn.SUMIFS" hidden="1">#NAME?</definedName>
    <definedName name="_xlnm.Print_Area" localSheetId="9">'BDI Composição - declaração'!$A$1:$F$43</definedName>
    <definedName name="_xlnm.Print_Area" localSheetId="11">'BDI Insumos - declaração'!$A$1:$F$43</definedName>
    <definedName name="_xlnm.Print_Area" localSheetId="3">'Composições'!$A$1:$H$77</definedName>
    <definedName name="_xlnm.Print_Area" localSheetId="2">'Cronograma'!$A$1:$H$27</definedName>
    <definedName name="_xlnm.Print_Area" localSheetId="6">'Drenagem'!$A$1:$V$29</definedName>
    <definedName name="_xlnm.Print_Area" localSheetId="12">'Encargos socias'!$B$1:$D$51</definedName>
    <definedName name="_xlnm.Print_Area" localSheetId="5">'Larguras'!$B$1:$C$35</definedName>
    <definedName name="_xlnm.Print_Area" localSheetId="1">'Memoria Calculo'!$A$1:$D$114</definedName>
    <definedName name="_xlnm.Print_Area" localSheetId="0">'Orçamento'!$A$1:$O$86</definedName>
    <definedName name="_xlnm.Print_Area" localSheetId="7">'Sinalização'!$A$1:$Y$43</definedName>
    <definedName name="_xlnm.Print_Area" localSheetId="4">'Volumes'!$A$1:$L$182</definedName>
    <definedName name="BASEDECALCULO">#REF!</definedName>
    <definedName name="BCALC">#REF!</definedName>
    <definedName name="BDI" localSheetId="12">#REF!</definedName>
    <definedName name="BDI">#REF!</definedName>
    <definedName name="BDI2" localSheetId="12">#REF!</definedName>
    <definedName name="BDI2">#REF!</definedName>
    <definedName name="CREACAU">#REF!</definedName>
    <definedName name="DifBDI" localSheetId="12">#REF!</definedName>
    <definedName name="DifBDI">#REF!</definedName>
    <definedName name="DifBDI2" localSheetId="12">#REF!</definedName>
    <definedName name="DifBDI2">#REF!</definedName>
    <definedName name="ENC">#REF!</definedName>
    <definedName name="ENCARGOS">#REF!</definedName>
    <definedName name="ente">#REF!</definedName>
    <definedName name="regime">#REF!</definedName>
    <definedName name="_xlnm.Print_Titles" localSheetId="1">'Memoria Calculo'!$1:$6</definedName>
    <definedName name="_xlnm.Print_Titles" localSheetId="0">'Orçamento'!$9:$10</definedName>
  </definedNames>
  <calcPr fullCalcOnLoad="1"/>
</workbook>
</file>

<file path=xl/sharedStrings.xml><?xml version="1.0" encoding="utf-8"?>
<sst xmlns="http://schemas.openxmlformats.org/spreadsheetml/2006/main" count="1376" uniqueCount="563">
  <si>
    <t>Item</t>
  </si>
  <si>
    <t>Descrição</t>
  </si>
  <si>
    <t>Quant.</t>
  </si>
  <si>
    <t>m³</t>
  </si>
  <si>
    <t>m²</t>
  </si>
  <si>
    <t>PAVIMENTAÇÃO</t>
  </si>
  <si>
    <t>m</t>
  </si>
  <si>
    <t>Área:</t>
  </si>
  <si>
    <t>Und</t>
  </si>
  <si>
    <t>1.1</t>
  </si>
  <si>
    <t>2.1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</si>
  <si>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</si>
  <si>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</si>
  <si>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</si>
  <si>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</si>
  <si>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</si>
  <si>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</si>
  <si>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</si>
  <si>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</si>
  <si>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</si>
  <si>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und</t>
  </si>
  <si>
    <t>3.8</t>
  </si>
  <si>
    <t>3.9</t>
  </si>
  <si>
    <t>Total</t>
  </si>
  <si>
    <t>Material</t>
  </si>
  <si>
    <t>M. Obra</t>
  </si>
  <si>
    <t>5.1</t>
  </si>
  <si>
    <t>5.2</t>
  </si>
  <si>
    <t>TOTAL DO ORÇAMENTO</t>
  </si>
  <si>
    <t>SERVIÇOS PRELIMINARES</t>
  </si>
  <si>
    <t>MOVIMENTAÇÃO DE TERRA</t>
  </si>
  <si>
    <t>4.3</t>
  </si>
  <si>
    <t>4.4</t>
  </si>
  <si>
    <t>4.5</t>
  </si>
  <si>
    <t>4.6</t>
  </si>
  <si>
    <t>4.7</t>
  </si>
  <si>
    <t>4.8</t>
  </si>
  <si>
    <t>4.9</t>
  </si>
  <si>
    <t>4.10</t>
  </si>
  <si>
    <t>DRENAGEM DE ÁGUAS PLUVIAIS</t>
  </si>
  <si>
    <t>SINALIZAÇÃO VIÁRIA</t>
  </si>
  <si>
    <t>TOTAL</t>
  </si>
  <si>
    <t>%</t>
  </si>
  <si>
    <t>CRONOGRAMA FÍSICO-FINANCEIRO</t>
  </si>
  <si>
    <t>ITEM</t>
  </si>
  <si>
    <t>DISCRIMINAÇÃO</t>
  </si>
  <si>
    <t>Valor (R$)</t>
  </si>
  <si>
    <t>PRAZO EM MESES</t>
  </si>
  <si>
    <t>1º</t>
  </si>
  <si>
    <t>2º</t>
  </si>
  <si>
    <t>TOTAL MENSAL</t>
  </si>
  <si>
    <t>TOTAL ACUMULADO</t>
  </si>
  <si>
    <t>Aterro</t>
  </si>
  <si>
    <t>73856/003</t>
  </si>
  <si>
    <t>REMOÇÃO TUBOS D=0,60m</t>
  </si>
  <si>
    <t xml:space="preserve">BDI APLICADO = </t>
  </si>
  <si>
    <t>Informações Projeto</t>
  </si>
  <si>
    <t>Pista</t>
  </si>
  <si>
    <t>Brita</t>
  </si>
  <si>
    <t>Base</t>
  </si>
  <si>
    <t>CBUQ</t>
  </si>
  <si>
    <t>Larguras</t>
  </si>
  <si>
    <t>Regularização</t>
  </si>
  <si>
    <t>Imprimação</t>
  </si>
  <si>
    <t>Pintura Ligação</t>
  </si>
  <si>
    <t>h</t>
  </si>
  <si>
    <t>REATERRO DE VALA COM MATERIAL GRANULAR REAPROVEITADO</t>
  </si>
  <si>
    <t>ORÇAMENTO DE SERVIÇOS</t>
  </si>
  <si>
    <t>1.2</t>
  </si>
  <si>
    <t>TOTAL DO SUB-ITEM</t>
  </si>
  <si>
    <t>2.2</t>
  </si>
  <si>
    <t>2.3</t>
  </si>
  <si>
    <t>4.11</t>
  </si>
  <si>
    <t>4.12</t>
  </si>
  <si>
    <t>4.13</t>
  </si>
  <si>
    <t>Rachão</t>
  </si>
  <si>
    <t>Tabelas de referência utilizadas:</t>
  </si>
  <si>
    <t>Responsável técnico:</t>
  </si>
  <si>
    <t>CREA:</t>
  </si>
  <si>
    <t>Referência</t>
  </si>
  <si>
    <t>Seviços</t>
  </si>
  <si>
    <t>1.3</t>
  </si>
  <si>
    <t>1.4</t>
  </si>
  <si>
    <t>Desloc. Equip. médio porte - caminhão espargidor</t>
  </si>
  <si>
    <t>Desloc. Equip. médio porte - caminhão pipa</t>
  </si>
  <si>
    <t>Desloc. Equip. médio porte - caminhão carroceria</t>
  </si>
  <si>
    <t>TOTAL DA COMPOSIÇÃO</t>
  </si>
  <si>
    <t>PIS</t>
  </si>
  <si>
    <t>COFINS</t>
  </si>
  <si>
    <t/>
  </si>
  <si>
    <t>MOBILIZAÇÃO E DESMOBILIZAÇÃO</t>
  </si>
  <si>
    <t>Código</t>
  </si>
  <si>
    <t>H</t>
  </si>
  <si>
    <t>SERVENTE COM ENCARGOS COMPLEMENTARES</t>
  </si>
  <si>
    <t>REGULARIZACAO E COMPACTACAO DE SUBLEITO</t>
  </si>
  <si>
    <t>SINAPI</t>
  </si>
  <si>
    <t>Origem Preço</t>
  </si>
  <si>
    <t>Tabela</t>
  </si>
  <si>
    <t>DAER</t>
  </si>
  <si>
    <t>SICRO</t>
  </si>
  <si>
    <t>CHP</t>
  </si>
  <si>
    <t>PINTURA DE LIGACAO COM EMULSAO RR-2C</t>
  </si>
  <si>
    <t>LIMPEZA MECANIZADA DE TERRENO COM REMOCAO DE CAMADA VEGETAL</t>
  </si>
  <si>
    <t>E9509</t>
  </si>
  <si>
    <t>E9571</t>
  </si>
  <si>
    <t>E9506</t>
  </si>
  <si>
    <t>E9687</t>
  </si>
  <si>
    <t>E9684</t>
  </si>
  <si>
    <t>COMPOSIÇÃO DE CUSTOS</t>
  </si>
  <si>
    <t>Custo R$</t>
  </si>
  <si>
    <t>Unit.</t>
  </si>
  <si>
    <t>Quant</t>
  </si>
  <si>
    <t>CHI</t>
  </si>
  <si>
    <t>Km</t>
  </si>
  <si>
    <t>Corte total</t>
  </si>
  <si>
    <t>Corte 3ª cat.</t>
  </si>
  <si>
    <t>Corte 1ª cat.</t>
  </si>
  <si>
    <t>Terraplenagem</t>
  </si>
  <si>
    <t>ADMINISTRAÇÃO LOCAL DA OBRA</t>
  </si>
  <si>
    <t>Equipe Técnica da Obra</t>
  </si>
  <si>
    <t>Veículos de serviço</t>
  </si>
  <si>
    <t>Preços unitários com BDI (R$)</t>
  </si>
  <si>
    <t>Preços totais com BDI (R$)</t>
  </si>
  <si>
    <t>DMT (km)</t>
  </si>
  <si>
    <t>Custo sem BDI (R$)</t>
  </si>
  <si>
    <t>CP1</t>
  </si>
  <si>
    <t>CP2</t>
  </si>
  <si>
    <t>CP1 - MOBILIZAÇÃO E DESMOBILIZAÇÃO</t>
  </si>
  <si>
    <t>CP2 - ADMINISTRAÇÃO LOCAL DA OBRA</t>
  </si>
  <si>
    <t>PÁ CARREGADEIRA SOBRE RODAS</t>
  </si>
  <si>
    <t xml:space="preserve">MOTONIVELADORA </t>
  </si>
  <si>
    <t>ROLO COMPACTADOR LISO</t>
  </si>
  <si>
    <t>TRATOR DE ESTEIRAS</t>
  </si>
  <si>
    <t>ENCARREGADO GERAL COM ENCARGOS COMPLEMENTARES</t>
  </si>
  <si>
    <t>m3</t>
  </si>
  <si>
    <t>PEDRA DE MAO OU PEDRA RACHAO</t>
  </si>
  <si>
    <t>PEDRA BRITADA N. 1</t>
  </si>
  <si>
    <t>E9018</t>
  </si>
  <si>
    <t>Transp.equip.pesado (EM CAMINHÃO-PRANCHA) - motoniveladora</t>
  </si>
  <si>
    <t>Transp.equip.pesado (EM CAMINHÃO-PRANCHA) - escavadeira hidr.</t>
  </si>
  <si>
    <t>Transp.equip.pesado (EM CAMINHÃO-PRANCHA) - vibroacabadora</t>
  </si>
  <si>
    <t>OBS 1: para composição da mobilização e desmobilização dos equipamentos pesados, foi utilizado o item E9018 do Sicro (Cavalo mecânico com semi-reboque de 6 eixos com capacidade de 74 t - 324 kW</t>
  </si>
  <si>
    <t>OBS 2: para composição da mobilização e desmobilização dos equipamentos de pequeno e médio porte, foi utilizado o item do Sicro respectivo de cada equipamento, visto que os mesmos não são transportados. Como estarão em deslocamento para a obra, o valor utilizado foi de CHP.</t>
  </si>
  <si>
    <t>NÃO É NECESSÁRIO IMPRIMIR ESTA ABA</t>
  </si>
  <si>
    <t>PREENCHA OS CAMPOS EM AMARELO E IMPRIMA A ABA "DECLARAÇÃO"</t>
  </si>
  <si>
    <t>Prefeitura Municipal de</t>
  </si>
  <si>
    <t>Empresa</t>
  </si>
  <si>
    <t>Tomador/Empresa:</t>
  </si>
  <si>
    <t>Município:</t>
  </si>
  <si>
    <t>Nº contrato:</t>
  </si>
  <si>
    <t>Objeto:</t>
  </si>
  <si>
    <t>Encargos :</t>
  </si>
  <si>
    <t>desonerados</t>
  </si>
  <si>
    <t>Data:</t>
  </si>
  <si>
    <t>Nome orçamentista:</t>
  </si>
  <si>
    <t>CREA nº</t>
  </si>
  <si>
    <t xml:space="preserve">CREA nº </t>
  </si>
  <si>
    <t xml:space="preserve">CAU nº </t>
  </si>
  <si>
    <t>Nome do prefeito</t>
  </si>
  <si>
    <t>CPF do prefeito</t>
  </si>
  <si>
    <t>Regime de execução:</t>
  </si>
  <si>
    <t>empreitada por preço global</t>
  </si>
  <si>
    <t>empreitada por preço unitário</t>
  </si>
  <si>
    <t>sem desoneração</t>
  </si>
  <si>
    <t>Alíquota ISSQN:</t>
  </si>
  <si>
    <t>Base de cálculo ISSQN:</t>
  </si>
  <si>
    <t>valor da mão de obra</t>
  </si>
  <si>
    <t>valor total da obra</t>
  </si>
  <si>
    <t>% de Mão de Obra (em relação ao valor total da obra):</t>
  </si>
  <si>
    <t>Cálculo do BDI conforme Acórdão 2622/2013 TCU</t>
  </si>
  <si>
    <t>SELECIONE O
TIPO DE OBRA:</t>
  </si>
  <si>
    <t>2 - Construção de Rodovias e Ferrovias</t>
  </si>
  <si>
    <t>Itens</t>
  </si>
  <si>
    <t>Adotado</t>
  </si>
  <si>
    <t>MÍN</t>
  </si>
  <si>
    <t>MÁX</t>
  </si>
  <si>
    <t>1 - Construção de Edifícios</t>
  </si>
  <si>
    <t>MIN</t>
  </si>
  <si>
    <t>AC</t>
  </si>
  <si>
    <t>ADM CENTRAL</t>
  </si>
  <si>
    <t>1a</t>
  </si>
  <si>
    <t>S+G</t>
  </si>
  <si>
    <t>SEGURO E GARANTIA</t>
  </si>
  <si>
    <t>3 - Construção de Redes de Abastecimento de Água, Coleta de Esgoto e Construções Correlatas</t>
  </si>
  <si>
    <t>1b</t>
  </si>
  <si>
    <t>R</t>
  </si>
  <si>
    <t>RISCO</t>
  </si>
  <si>
    <t>4 - Construção e Manutenção de Estações e Redes de Distribuição de Energia Elétrica</t>
  </si>
  <si>
    <t>1c</t>
  </si>
  <si>
    <t>DF</t>
  </si>
  <si>
    <t xml:space="preserve"> DESP. FINANCEIRAS</t>
  </si>
  <si>
    <t>5 - Obras Portuárias, Marítimas e Fluviais</t>
  </si>
  <si>
    <t>1d</t>
  </si>
  <si>
    <t>L</t>
  </si>
  <si>
    <t>LUCRO</t>
  </si>
  <si>
    <t>6 - Fornecimento de Materiais e Equipamentos</t>
  </si>
  <si>
    <t>1e</t>
  </si>
  <si>
    <t>I</t>
  </si>
  <si>
    <t>IMPOSTOS</t>
  </si>
  <si>
    <t>conf. Legislação</t>
  </si>
  <si>
    <t>2a</t>
  </si>
  <si>
    <t>ISSQN (Alíquota x %Base de cálculo)</t>
  </si>
  <si>
    <t>CPRB (p/ desonerado)</t>
  </si>
  <si>
    <t>IMPOSTOS (Desonerado)</t>
  </si>
  <si>
    <t>2b</t>
  </si>
  <si>
    <t>2c</t>
  </si>
  <si>
    <t>Fórmula do BDI</t>
  </si>
  <si>
    <t>2d</t>
  </si>
  <si>
    <t>BDI =</t>
  </si>
  <si>
    <t>(1 + AC + S + G + R) * (1 + DF) * (1 + L)</t>
  </si>
  <si>
    <t>2e</t>
  </si>
  <si>
    <t>(1 - I)</t>
  </si>
  <si>
    <t>3a</t>
  </si>
  <si>
    <t>3b</t>
  </si>
  <si>
    <t>BDI Resultante</t>
  </si>
  <si>
    <t>3c</t>
  </si>
  <si>
    <t>3d</t>
  </si>
  <si>
    <t>BDI Desonerado:</t>
  </si>
  <si>
    <t>3e</t>
  </si>
  <si>
    <t>IMPORTANTE: Se o percentual total do BDI exceder o máximo previsto pelo Acórdão 2622/20013, o detalhamento do BDI deve ser acompanhado de relatório técnico circunstanciado, justificando a adoção do percentual adotado para cada parcela do BDI, assinado pelo profissional responsável técnico do orçamento, usando como diretriz os percentuais máximos e mínimos previstos para cada item.</t>
  </si>
  <si>
    <t>* O BDI máximo pode ser ultrapassado nos casos em que a empresa vencedora da licitação se enquadre na desoneração (conforme Medida Provisória 601/2012). Neste caso, após definir o BDI "sem desoneração" respeitando os limites das tabelas acima, o cálculo do BDI "desonerado" é feito acrescentando 2% ao item "I - PIS, COFINS e ISSQN", sem alterar as demais parcelas da fórmula.</t>
  </si>
  <si>
    <t>4b</t>
  </si>
  <si>
    <t>* IMPORTANTE: Esta planilha foi desenvolvida para abranger às situações mais comuns. Poderá haver situações em que este modelo não se aplica. Não é obrigatório o uso desta planilha.</t>
  </si>
  <si>
    <t>4c</t>
  </si>
  <si>
    <t>4d</t>
  </si>
  <si>
    <t>4e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</si>
  <si>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</si>
  <si>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</si>
  <si>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</si>
  <si>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</si>
  <si>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</si>
  <si>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</si>
  <si>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</si>
  <si>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</si>
  <si>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</si>
  <si>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</si>
  <si>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1f</t>
  </si>
  <si>
    <t>2f</t>
  </si>
  <si>
    <t>3f</t>
  </si>
  <si>
    <t>4f</t>
  </si>
  <si>
    <t>5f</t>
  </si>
  <si>
    <t>6f</t>
  </si>
  <si>
    <t>Declaração</t>
  </si>
  <si>
    <t>Composição do BDI (conforme Acórdão 2622/2013 TCU)</t>
  </si>
  <si>
    <t>TIPO DE OBRA:</t>
  </si>
  <si>
    <t>DESP. FINANCEIRAS</t>
  </si>
  <si>
    <t>ISSQN (Aliquota x %Base de cálculo)</t>
  </si>
  <si>
    <t>CPRB</t>
  </si>
  <si>
    <t>CAU n°</t>
  </si>
  <si>
    <t>CONCRETO BETUMINOSO USINADO A QUENTE(CBUQ),CAP 50/70, EXCLUSIVE TRANSPORTE) - E= 5cm</t>
  </si>
  <si>
    <t>ENCARGOS SOCIAIS E TRABALHISTAS</t>
  </si>
  <si>
    <t>Células editaveis</t>
  </si>
  <si>
    <t>Lado direito</t>
  </si>
  <si>
    <t>Lado esquerdo</t>
  </si>
  <si>
    <t>Folga Base</t>
  </si>
  <si>
    <t>Folga Terraplenagem</t>
  </si>
  <si>
    <t>Calçada</t>
  </si>
  <si>
    <t>Espessuras</t>
  </si>
  <si>
    <t>TRANSPORTE LOCAL RODOVIA PAVIMENTADA</t>
  </si>
  <si>
    <t>TRANSPORTE DOS MATERIAIS PETREOS</t>
  </si>
  <si>
    <t>SINALIZACAO HORIZONTAL MECANIZADA</t>
  </si>
  <si>
    <t>TRANSPORTE DO RACHÃO</t>
  </si>
  <si>
    <t>ATERRO DE GREIDE COM MATERIAL DE JAZIDA (EMPRESTIMO), INCLUSIVE COMPACTAÇÃO</t>
  </si>
  <si>
    <t>REATERRO DO MATERIAL REMOVIDO COM RACHÃO ENCHIMENTO BRITA E CAMADA BLOQUEIO, INCLUSIVE COMPACTAÇÃO</t>
  </si>
  <si>
    <t>BASE DE BRITA GRADUADA, INCLUSIVE COMPACTAÇÃO - E= 15CM</t>
  </si>
  <si>
    <t>Engenheiro Pleno (0,5 hora por dia útil)</t>
  </si>
  <si>
    <t>Camionete pick-up (1,0 hora por dia útil)</t>
  </si>
  <si>
    <t>INSUMO</t>
  </si>
  <si>
    <t>m³xkm</t>
  </si>
  <si>
    <t>ESPALHAMENTO DE MATERIAL COM TRATOR DE ESTEIRAS</t>
  </si>
  <si>
    <t>100576</t>
  </si>
  <si>
    <t>SUPORTE METÁLICO GALVANIZADO PARA PLACA DE ADVERTÊNCIA</t>
  </si>
  <si>
    <t xml:space="preserve">SUPORTE METÁLICO GALVANIZADO PARA PLACA DE REGULAMENTAÇÃO </t>
  </si>
  <si>
    <t>ESCAVAÇÃO DE GREIDE</t>
  </si>
  <si>
    <t>2.1.1</t>
  </si>
  <si>
    <t>2.1.2</t>
  </si>
  <si>
    <t>2.1.3</t>
  </si>
  <si>
    <t>2.1.4</t>
  </si>
  <si>
    <t>REMOÇÃO DE SOLOS INADEQUADOS/REFORÇO DO SUBLEITO</t>
  </si>
  <si>
    <t>2.2.1</t>
  </si>
  <si>
    <t>2.2.2</t>
  </si>
  <si>
    <t>2.2.3</t>
  </si>
  <si>
    <t>2.2.4</t>
  </si>
  <si>
    <t>2.2.5</t>
  </si>
  <si>
    <t>ATERRO DE GREIDE</t>
  </si>
  <si>
    <t>TRANSPORTE COM CAMINHÃO BASCULANTE (DISTANCIA INDICADA NA COLUNA "DMT")</t>
  </si>
  <si>
    <t>2.3.1</t>
  </si>
  <si>
    <t>2.3.2</t>
  </si>
  <si>
    <t>DAER 05/2019</t>
  </si>
  <si>
    <t>-</t>
  </si>
  <si>
    <t>Conforme Composição</t>
  </si>
  <si>
    <t>Planilha de Volumes</t>
  </si>
  <si>
    <t>Conforme cronograma físico-financeiro</t>
  </si>
  <si>
    <t>TRANSPORTE DO CBUQ</t>
  </si>
  <si>
    <t>TRANSPORTE DE MATERIAL ASFALTICO, COM CAMINHÃO COM CAPACIDADE DE 20.000 L</t>
  </si>
  <si>
    <t>Tonxkm</t>
  </si>
  <si>
    <t>SINALIZAÇÃO VERTICAL</t>
  </si>
  <si>
    <t xml:space="preserve">1. SINAIS DE REGULAMENTAÇÃO </t>
  </si>
  <si>
    <t xml:space="preserve">SINAL </t>
  </si>
  <si>
    <t>CÓDIGO</t>
  </si>
  <si>
    <t>SERVIÇOS</t>
  </si>
  <si>
    <t>SUPORTES</t>
  </si>
  <si>
    <t>PLACAS</t>
  </si>
  <si>
    <t>DIÂMETRO (cm)</t>
  </si>
  <si>
    <t>LADO 1 (cm)</t>
  </si>
  <si>
    <t>LADO 2 (cm)</t>
  </si>
  <si>
    <t>ÁREA (m²)</t>
  </si>
  <si>
    <t>R-1</t>
  </si>
  <si>
    <t>Parada obrigatória</t>
  </si>
  <si>
    <t>Quantidade:</t>
  </si>
  <si>
    <t>Largura (m):</t>
  </si>
  <si>
    <t>Total (m²):</t>
  </si>
  <si>
    <t>R-2</t>
  </si>
  <si>
    <t>Dê a preferência</t>
  </si>
  <si>
    <t>Eixo</t>
  </si>
  <si>
    <t>R-3</t>
  </si>
  <si>
    <t>Sentido proibido</t>
  </si>
  <si>
    <t>Bordo</t>
  </si>
  <si>
    <t>R-4a</t>
  </si>
  <si>
    <t>Proibido virar a esquerda</t>
  </si>
  <si>
    <t>TACHAS:</t>
  </si>
  <si>
    <t>R-4b</t>
  </si>
  <si>
    <t>Proibido virar a direita</t>
  </si>
  <si>
    <t>Cadencia:</t>
  </si>
  <si>
    <t>Total:</t>
  </si>
  <si>
    <t>R-7</t>
  </si>
  <si>
    <t>Proibido Ultrapassar</t>
  </si>
  <si>
    <t>R-19</t>
  </si>
  <si>
    <t>Velocidade máxima permitida (40km/h)</t>
  </si>
  <si>
    <t>2. SINAIS DE ADVERTÊNCIA</t>
  </si>
  <si>
    <t>A-1a</t>
  </si>
  <si>
    <t xml:space="preserve">Curva acentuada a esquerda </t>
  </si>
  <si>
    <t>A-1b</t>
  </si>
  <si>
    <t>Curva acentuada a direita</t>
  </si>
  <si>
    <t>A-2a</t>
  </si>
  <si>
    <t xml:space="preserve">Curva a esquerda </t>
  </si>
  <si>
    <t>A-2b</t>
  </si>
  <si>
    <t>Curva a direita</t>
  </si>
  <si>
    <t>A-3a</t>
  </si>
  <si>
    <t>Pista sinuosa à esquerda</t>
  </si>
  <si>
    <t>A-3b</t>
  </si>
  <si>
    <t>Pista sinuosa à direita</t>
  </si>
  <si>
    <t>A-4a</t>
  </si>
  <si>
    <t xml:space="preserve">Curva acentuada em "S" à esquerda </t>
  </si>
  <si>
    <t>A-4b</t>
  </si>
  <si>
    <t>Curva acentuada em "S" à direita</t>
  </si>
  <si>
    <t>A-5a</t>
  </si>
  <si>
    <t>Curva em "S" à esquerda</t>
  </si>
  <si>
    <t>A-5b</t>
  </si>
  <si>
    <t>Curva em "S" à direita</t>
  </si>
  <si>
    <t>A-18</t>
  </si>
  <si>
    <t>Saliência ou Lombada</t>
  </si>
  <si>
    <t>A-19</t>
  </si>
  <si>
    <t xml:space="preserve">Depessão  </t>
  </si>
  <si>
    <t>A-6</t>
  </si>
  <si>
    <t>Cruzamento de vias</t>
  </si>
  <si>
    <t>A-32a</t>
  </si>
  <si>
    <t>Trânsito de pedestres</t>
  </si>
  <si>
    <t>A-32b</t>
  </si>
  <si>
    <t>Passagem sinalizada de pedestres</t>
  </si>
  <si>
    <t>A-7a</t>
  </si>
  <si>
    <t>Via lateral a esquerda</t>
  </si>
  <si>
    <t>A-7b</t>
  </si>
  <si>
    <t>Via lateral a direita</t>
  </si>
  <si>
    <t>3.OUTRAS</t>
  </si>
  <si>
    <t>Delineadores de pontilhão</t>
  </si>
  <si>
    <t xml:space="preserve">Placa de Indicação </t>
  </si>
  <si>
    <t>I-23</t>
  </si>
  <si>
    <t>Ponto de Parada</t>
  </si>
  <si>
    <t>Lombada</t>
  </si>
  <si>
    <t>Placa Logradouro (RUA)</t>
  </si>
  <si>
    <t>Suportes (und.)</t>
  </si>
  <si>
    <t>Placas (m²)</t>
  </si>
  <si>
    <t>De acordo com o Acórdão 2622/2013-TCU.</t>
  </si>
  <si>
    <t>COMPOSIÇÃO</t>
  </si>
  <si>
    <t>BDI DIFERENCIADO PARA INSUMOS =</t>
  </si>
  <si>
    <t>ESCAVAÇÃO VERTICAL A CÉU ABERTO, INCLUINDO CARGA, DESCARGA E TRANSPORTE, EM SOLO DE 1ª CATEGORIA COM ESCAVADEIRA HIDRÁULICA</t>
  </si>
  <si>
    <t>Transp.equip.pesado (EM CAMINHÃO-PRANCHA) - trator esteiras e retroescavadeira</t>
  </si>
  <si>
    <t>Transp.equip.pesado (EM CAMINHÃO-PRANCHA) - rolo pneumático e rolo liso para asfalto</t>
  </si>
  <si>
    <t>Transp.equip.pesado (EM CAMINHÃO-PRANCHA) - rolo corrugado e rolo liso para terraplenagem</t>
  </si>
  <si>
    <t>Topógrafo</t>
  </si>
  <si>
    <t>Auxiliar de Topografia</t>
  </si>
  <si>
    <t>Camionete pick-up (IMPRODUTIVO)</t>
  </si>
  <si>
    <t>Total (m)</t>
  </si>
  <si>
    <t>Área (m²)</t>
  </si>
  <si>
    <t>Tipo</t>
  </si>
  <si>
    <t>PLACA DE OBRA (1,20m x 2,40m)</t>
  </si>
  <si>
    <t>QUANTITATIVO DE VOLUMES</t>
  </si>
  <si>
    <t>Semi-Dist. (m)</t>
  </si>
  <si>
    <t>Corte 2ª cat.</t>
  </si>
  <si>
    <t>Vol. (m³)</t>
  </si>
  <si>
    <t>Corte total (m³)</t>
  </si>
  <si>
    <t>Corte 3ª cat. (m³)</t>
  </si>
  <si>
    <t>Corte 2ª cat. (m³)</t>
  </si>
  <si>
    <t>Corte 1ª cat. (m³)</t>
  </si>
  <si>
    <t>Aterro (m³)</t>
  </si>
  <si>
    <t>CP3</t>
  </si>
  <si>
    <t>2.1.5</t>
  </si>
  <si>
    <t>CP3 - ESC. MECANICA PARA ACERTO DE TALUDES, EM MATERIAL DE 2A CAT. C/ ESCAVADEIRA HIDRAULICA</t>
  </si>
  <si>
    <t>ESCAVADEIRA HIDRÁULICA SOBRE ESTEIRAS, CAÇAMBA 0,80 M3</t>
  </si>
  <si>
    <t>CAMINHÃO BASCULANTE 14 M3, COM CAVALO MECÂNICO DE CAPACIDADE MÁXIMA DE TRAÇÃO COMBINADO</t>
  </si>
  <si>
    <t>Técnico em Segurança (0,50 hora por dia útil)</t>
  </si>
  <si>
    <t>Encarregado Geral (2,0 hora por dia útil)</t>
  </si>
  <si>
    <t>Largura: 1,20m x Altura: 2,40m (Padrão)</t>
  </si>
  <si>
    <t>3º</t>
  </si>
  <si>
    <t>kg</t>
  </si>
  <si>
    <t>CP4 - SUB-BASE RACHÃO ENCHIMENTO BRITA E CAMADA BLOQUEIO</t>
  </si>
  <si>
    <t>CP4</t>
  </si>
  <si>
    <t>CP5</t>
  </si>
  <si>
    <t>DIREITO</t>
  </si>
  <si>
    <t>ESQUERDO</t>
  </si>
  <si>
    <t>Maio de 2021</t>
  </si>
  <si>
    <t>4.14</t>
  </si>
  <si>
    <t>4.15</t>
  </si>
  <si>
    <t>4.16</t>
  </si>
  <si>
    <t>PINTURA MECÂNIZADA:</t>
  </si>
  <si>
    <t>4.17</t>
  </si>
  <si>
    <t>4.18</t>
  </si>
  <si>
    <t>OBS 3: o tempo de 3 horas por equipamento equivale ao tempo de ida (1:15h) e volta (1:15h) + tempo de carga e descarga do equipamento (0:30h)</t>
  </si>
  <si>
    <t>mês</t>
  </si>
  <si>
    <t>REMOÇÃO TUBOS D=0,40m</t>
  </si>
  <si>
    <t>4.19</t>
  </si>
  <si>
    <t>4.20</t>
  </si>
  <si>
    <t>4.21</t>
  </si>
  <si>
    <t>Fontoura Xavier</t>
  </si>
  <si>
    <t>MEMÓRIA DE CÁLCULO</t>
  </si>
  <si>
    <t>,</t>
  </si>
  <si>
    <t>DATA:</t>
  </si>
  <si>
    <t>DESMONTE DE ROCHA COM MARTELETE PNEUMÁTICO</t>
  </si>
  <si>
    <t>SICRO 01/2021</t>
  </si>
  <si>
    <t>ESC. MECANICA PARA ACERTO DE TALUDES, EM MATERIAL DE 2ª CAT. C/ ESCAVADEIRA HIDRAULICA</t>
  </si>
  <si>
    <r>
      <t>Obra:</t>
    </r>
    <r>
      <rPr>
        <b/>
        <sz val="16"/>
        <color indexed="10"/>
        <rFont val="Arial Narrow"/>
        <family val="2"/>
      </rPr>
      <t xml:space="preserve"> Pavimentação Asfáltica da Estrada de Ligação à BR-386</t>
    </r>
  </si>
  <si>
    <t>5.3</t>
  </si>
  <si>
    <t>5.4</t>
  </si>
  <si>
    <t>5.5</t>
  </si>
  <si>
    <t>5.6</t>
  </si>
  <si>
    <t>5.7</t>
  </si>
  <si>
    <t>Estaca:</t>
  </si>
  <si>
    <t>Existentes</t>
  </si>
  <si>
    <t>Novos</t>
  </si>
  <si>
    <t>Dispositivos</t>
  </si>
  <si>
    <t>Diâmetro (mm)</t>
  </si>
  <si>
    <t>Comprimento Existente (m)</t>
  </si>
  <si>
    <t>Comprimento Novo (m)</t>
  </si>
  <si>
    <t>Dispositivo Entrada</t>
  </si>
  <si>
    <t>Dispositivo Saída</t>
  </si>
  <si>
    <t>Tubos existentes (mm)</t>
  </si>
  <si>
    <t>DIMENSÕES ESCAVAÇÃO DOS TUBOS</t>
  </si>
  <si>
    <t>ALA</t>
  </si>
  <si>
    <t>Diâmetro(mm)</t>
  </si>
  <si>
    <t>Largura(m)</t>
  </si>
  <si>
    <t>Altura(m)</t>
  </si>
  <si>
    <t>Área Nominal Tubo (m²)</t>
  </si>
  <si>
    <t xml:space="preserve">BOCAS PARA BUEIRO SIMPLES TUBULAR </t>
  </si>
  <si>
    <t xml:space="preserve">Quantidade </t>
  </si>
  <si>
    <t>Estaca</t>
  </si>
  <si>
    <t>Lado</t>
  </si>
  <si>
    <t>Início</t>
  </si>
  <si>
    <t>Fim</t>
  </si>
  <si>
    <t>Extensão</t>
  </si>
  <si>
    <t>Largura</t>
  </si>
  <si>
    <t>Profundidade</t>
  </si>
  <si>
    <t>Volume</t>
  </si>
  <si>
    <t>LD/LE</t>
  </si>
  <si>
    <t>ESCAVAÇÃO MECANIZADA DE VALA 1A  CATEGORIA</t>
  </si>
  <si>
    <t>100574</t>
  </si>
  <si>
    <t>ESPALHAMENTO DE MATERIAL EM BOTA FORA</t>
  </si>
  <si>
    <t>TESTADA BSTC D=0,40m</t>
  </si>
  <si>
    <t>BOCA PARA BUEIRO SIMPLES TUBULAR, DIAMETRO =0,80M</t>
  </si>
  <si>
    <t>ESCAVAÇÃO MECANIZADA DE VALA 1A  CATEGORIA - VALA LATERAL</t>
  </si>
  <si>
    <t>TACHA BIDIRECIONAL EIXO - CAD 1:4</t>
  </si>
  <si>
    <t>TACHA MONODIRECIONAL BORDO - CAD 1:8</t>
  </si>
  <si>
    <t>FORNECIMENTO E IMPLANTAÇÃO DE PLACA DE REGULAMENTAÇÃO EM AÇO D=0,60 M</t>
  </si>
  <si>
    <t>SUB-BASE RACHÃO ENCHIMENTO BRITA E CAMADA BLOQUEIO, INCLUSIVE COMPACTAÇÃO - E= 20CM</t>
  </si>
  <si>
    <t>TUBOS DE ACESSOS</t>
  </si>
  <si>
    <t>TESTADA</t>
  </si>
  <si>
    <t>Diâmetro Novo (mm)</t>
  </si>
  <si>
    <t>Lado:</t>
  </si>
  <si>
    <t>Meio</t>
  </si>
  <si>
    <t xml:space="preserve">TESTADAS PARA BUEIRO SIMPLES TUBULAR </t>
  </si>
  <si>
    <t>TRAVESSIA</t>
  </si>
  <si>
    <t>Quantidade</t>
  </si>
  <si>
    <t>SINALIZAÇÃO HORIZONTAL MECÂNIZADA (Detalhamento Eixo)</t>
  </si>
  <si>
    <t>Tot. (m²):</t>
  </si>
  <si>
    <t>Final</t>
  </si>
  <si>
    <t>Continua</t>
  </si>
  <si>
    <t>Direito</t>
  </si>
  <si>
    <t>Esquerdo</t>
  </si>
  <si>
    <t>Tracejada 1:2</t>
  </si>
  <si>
    <t>Var.</t>
  </si>
  <si>
    <t>SINALIZAÇÃO HORIZONTAL MECANIZADA</t>
  </si>
  <si>
    <t>Qtd.:</t>
  </si>
  <si>
    <t>SINALIZAÇÃO HORIZONTAL ESPECIAL</t>
  </si>
  <si>
    <t>FAIXA DE PEDESTRES:</t>
  </si>
  <si>
    <t>Larg. (m):</t>
  </si>
  <si>
    <t>Comp. (m):</t>
  </si>
  <si>
    <t>FAIXA DE RETENÇÃO:</t>
  </si>
  <si>
    <t>LOMBADAS:</t>
  </si>
  <si>
    <t>TOTAL (m²)</t>
  </si>
  <si>
    <t>TESTADA BSTC D=0,60m</t>
  </si>
  <si>
    <t>FORNECIMENTO E IMPLANTAÇÃO DE PLACA DE ADVERTÊNCIA EM AÇO L=0,60M</t>
  </si>
  <si>
    <t>ASSENTAMENTO DE TUBO DE CONCRETO PARA REDES COLETORAS DE ÁGUAS PLUVIAIS,DIÂMETRO DE 400 MM, JUNTA RÍGIDA, INSTALADO EM LOCAL COM BAIXO NÍVEL DE INTERFERÊNCIAS</t>
  </si>
  <si>
    <t>ASSENTAMENTO DE TUBO DE CONCRETO PARA REDES COLETORAS DE ÁGUAS PLUVIAIS,DIÂMETRO DE 600 MM, JUNTA RÍGIDA, INSTALADO EM LOCAL COM BAIXO NÍVEL DE INTERFERÊNCIAS</t>
  </si>
  <si>
    <t>ASSENTAMENTO DE TUBO DE CONCRETO PARA REDES COLETORAS DE ÁGUAS PLUVIAIS,DIÂMETRO DE 800 MM, JUNTA RÍGIDA, INSTALADO EM LOCAL COM BAIXO NÍVEL DE INTERFERÊNCIAS</t>
  </si>
  <si>
    <t>ASSENTAMENTO DE TUBO DE CONCRETO PARA REDES COLETORAS DE ÁGUAS PLUVIAIS,DIÂMETRO DE 1000 MM, JUNTA RÍGIDA, INSTALADO EM LOCAL COM BAIXO NÍVEL DE INTERFERÊNCIAS</t>
  </si>
  <si>
    <t>TUBO DE CONCRETO ARMADO DN 400MM PA-2</t>
  </si>
  <si>
    <t>TUBO CONCRETO ARMADO DN 600MM PA-2</t>
  </si>
  <si>
    <t>TUBO CONCRETO ARMADO DN 800MM - PA2</t>
  </si>
  <si>
    <t>TUBO CONCRETO ARMADO DN 1000MM - PA3</t>
  </si>
  <si>
    <t>Desloc. Equip. médio porte - 3 caminhões basculantes 6m³</t>
  </si>
  <si>
    <t>E9579</t>
  </si>
  <si>
    <t>642,55m³ Volume de material removido x 1,30 Empolamento material de 1ª categoria + 171,12m³ Volume de material removido x 1,25 Empolamento material de 2ª categoria + 446,05m³ Volume de material removido x 1,50 Empolamento material de 3ª categoria</t>
  </si>
  <si>
    <t>1.227,47m Extensão do Trecho x 2,20m Largura de escavação x 0,30m Profundidade de escavação x 2 lados da pista</t>
  </si>
  <si>
    <t>1.620,26m³ Volume de escavação x 1,30 Empolamento material de 1ª categoria</t>
  </si>
  <si>
    <t>1.620,26m³ Volume de escavação x 1,30 Empolamento material de 1ª categoria x 4,00Km DMT Bota-Fora</t>
  </si>
  <si>
    <t>1.227,47m Extensão do Trecho x 2,30m Largura de escavação x 0,30m Profundidade de escavação x 2 lados da pista x 75,50Km DMT Britagem</t>
  </si>
  <si>
    <t>1.414,35m³ Volume de aterro x 1,30 Empolamento material de 1ª categoria x 4,00Km DMT Jazida</t>
  </si>
  <si>
    <t>Desloc. Equip. médio porte - 2 caminhões basculantes 10m³</t>
  </si>
  <si>
    <t>4.22</t>
  </si>
  <si>
    <t>ESCAVAÇÃO MECANIZADA DE VALA 2A  CATEGORIA - VALA LATERAL</t>
  </si>
  <si>
    <t>ESCAVAÇÃO DE VALA EM MATERIAL DE 3ª CATEGORIA - VALA LATERAL</t>
  </si>
  <si>
    <t>1ª Cat.</t>
  </si>
  <si>
    <t>2ª Cat</t>
  </si>
  <si>
    <t>3ª Cat</t>
  </si>
  <si>
    <t>VALA LATERAL</t>
  </si>
  <si>
    <t>1.227,47m Extensão do trecho x 1,50m Largura de limpeza x 2 Lados da pista + 6,43m Extensão do acesso x 1,50m Largura de limpeza x 2 Lados da pista</t>
  </si>
  <si>
    <t>1.227,47m Extensão do trecho x 8,55m Largura de regularização + 6,43m Extensão do acesso x 8,55m Largura de regularização</t>
  </si>
  <si>
    <t>1.227,47m Extensão do trecho x 8,25m Largura média de rachão x 0,20m Espessura de rachão + 6,43m Extensão do acesso x 8,25m Largura média de rachão x 0,20m Espessura de rachão</t>
  </si>
  <si>
    <t>1.227,47m Extensão do trecho x 7,73m Largura média de base de brita graduada x 0,15m Espessura de base de brita graduada + 6,43m Extensão do acesso x 7,73m Largura média de base de brita graduada x 0,15m Espessura de base de brita graduada</t>
  </si>
  <si>
    <t>2.035,93m³ Volume de Rachão + 1.430,70m³ Volume de Base de brita graduada x 75,50Km DMT Britagem</t>
  </si>
  <si>
    <t>1.227,47m Extensão do trecho x 7,50m Largura de imprimação + 6,43m Extensão da boca de rua x 7,50m Largura de imprimação</t>
  </si>
  <si>
    <t>8.637,29m² Área total de pavimentação</t>
  </si>
  <si>
    <t>(9.254,24m² Imprimação x 1,20L/m² Taxa de aplicação / 1000) + (8.637,29m² Pintura de ligação x 0,60L/m² Taxa de aplicação / 1000) + 431,86m³ CBUQ x 2,50T/m³ Densidade do CBUQ x 6% Teor de CAP x 95,00Km DMT Refinaria</t>
  </si>
  <si>
    <t>1.227,47m Extensão do trecho x 7,00m Largura de pavimentação x 0,05m Espessura do CBUQ + 6,43m Extensão do acesso x 7,00m Largura de média do acesso x 0,05m Espessura do CBUQ</t>
  </si>
  <si>
    <t>431,86m³ Volume de CBUQ x 75,50Km DMT Usina</t>
  </si>
  <si>
    <t>Conforme memória de cálculo de drenagem e projeto de drenagem</t>
  </si>
  <si>
    <t>1.401,27m³ Volume de material removido x 1,30 Empolamento material de 1ª categoria + 336,28m³ Volume de material removido x 1,25 Empolamento material de 2ª categoria + 196,40m³ Volume de material removido x 1,50 Empolamento material de 3ª categoria x 4,00Km DMT Bota-Fora</t>
  </si>
  <si>
    <t>1.401,27m³ Volume de material removido x 1,30 Empolamento material de 1ª categoria + 336,28m³ Volume de material removido x 1,25 Empolamento material de 2ª categoria + 196,40m³ Volume de material removido x 1,50 Empolamento material de 3ª categoria</t>
  </si>
  <si>
    <t>Conforme memória de cálculo de sinalização e projeto de sinalização</t>
  </si>
  <si>
    <t>234,95m³ Volume de material removido x 1,25 Empolamento material de 2ª categoria + 398,55m³ Volume de material removido x 1,50 Empolamento material de 3ª categoria x 4,00Km DMT Bota-Fora</t>
  </si>
  <si>
    <t>ACUMULADO</t>
  </si>
  <si>
    <t>4º</t>
  </si>
  <si>
    <t>SINAPI 05/2021</t>
  </si>
  <si>
    <t>VASSOURA MECÂNICA REBOCÁVEL COM ESCOVA CILÍNDRICA, LARGURA ÚTIL DE VARRIMENTO DE 2,44 M (PRODUTIVO)</t>
  </si>
  <si>
    <t>VASSOURA MECÂNICA REBOCÁVEL COM ESCOVA CILÍNDRICA, LARGURA ÚTIL DE VARRIMENTO DE 2,44 M (IMPRODUTIVO)</t>
  </si>
  <si>
    <t>ESPARGIDOR DE ASFALTO PRESSURIZADO, TANQUE 6 M3 COM ISOLAÇÃO TÉRMICA, AQUECIDO COM 2 MAÇARICOS, COM BARRA ESPARGIDORA 3,60 M, MONTADO SOBRE CAMINHÃO TOCO, PBT 14.300 KG, POTÊNCIA 185 CV (PRODUTIVO)</t>
  </si>
  <si>
    <t>TRATOR DE PNEUS, POTÊNCIA 85 CV, TRAÇÃO 4X4, PESO COM LASTRO DE 4.675 KG</t>
  </si>
  <si>
    <t>TRATOR DE PNEUS, POTÊNCIA 85 CV, TRAÇÃO 4X4, PESO COM LASTRO DE 4.675 KG (PRODUTIVO)</t>
  </si>
  <si>
    <t>ESPARGIDOR DE ASFALTO PRESSURIZADO, TANQUE 6 M3 COM ISOLAÇÃO TÉRMICA, AQUECIDO COM 2 MAÇARICOS, COM BARRA ESPARGIDORA 3,60 M, MONTADO SOBRE CAMINHÃO TOCO, PBT 14.300 KG, POTÊNCIA 185 CV (IMPRODUTIVO)</t>
  </si>
  <si>
    <t>ANP</t>
  </si>
  <si>
    <t>ICMS</t>
  </si>
  <si>
    <t>ASFALTO DILUIDO DE PETROLEO CM-30 (ACRESCIDO DE ICMS, PIS E COFINS)</t>
  </si>
  <si>
    <t>EXECUÇÃO DE IMPRIMAÇÃO DE BASE DE BRITA GRADUADA COM MATERIAL ASFÁLTICO</t>
  </si>
  <si>
    <t>Responsável técnico: Augusto Ross</t>
  </si>
  <si>
    <t>Crea nº: RS236486</t>
  </si>
  <si>
    <t>CPF: 209.484.410-20</t>
  </si>
  <si>
    <t>Prefeito Municipal: Luiz Armando Taffarel</t>
  </si>
  <si>
    <t>Fórmula do BDI Sem Desoneração</t>
  </si>
  <si>
    <t>Fórmula do BDI Com Desoneração</t>
  </si>
  <si>
    <t>Responsável Técnico: Augusto Ross</t>
  </si>
  <si>
    <t>CREA nº: RS236486</t>
  </si>
  <si>
    <t>CPF nº: 209.484.410-20</t>
  </si>
  <si>
    <r>
      <t>PREFEITURA MUNICIPAL DE</t>
    </r>
    <r>
      <rPr>
        <b/>
        <sz val="16"/>
        <color indexed="10"/>
        <rFont val="Arial Narrow"/>
        <family val="2"/>
      </rPr>
      <t xml:space="preserve"> </t>
    </r>
    <r>
      <rPr>
        <b/>
        <sz val="16"/>
        <rFont val="Arial Narrow"/>
        <family val="2"/>
      </rPr>
      <t>FONTOURA XAVIER</t>
    </r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</si>
</sst>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[Red]\(&quot;R$&quot;#,##0\)"/>
    <numFmt numFmtId="173" formatCode="&quot;R$&quot;#,##0.00_);[Red]\(&quot;R$&quot;#,##0.00\)"/>
    <numFmt numFmtId="174" formatCode="#,##0.000"/>
    <numFmt numFmtId="175" formatCode="#,##0.00\ &quot;m²&quot;"/>
    <numFmt numFmtId="176" formatCode="dd/mm/yy;@"/>
    <numFmt numFmtId="177" formatCode="&quot;Extensão:&quot;\ #,##0.00\ &quot;m&quot;"/>
    <numFmt numFmtId="178" formatCode="&quot;Largura:&quot;\ #,##0.00\ &quot;m&quot;"/>
    <numFmt numFmtId="179" formatCode="#,##0.0000"/>
    <numFmt numFmtId="180" formatCode="0\+000.00"/>
    <numFmt numFmtId="181" formatCode="0\+000"/>
    <numFmt numFmtId="182" formatCode="0.0"/>
    <numFmt numFmtId="183" formatCode="0.000%"/>
    <numFmt numFmtId="184" formatCode="&quot;Área:&quot;\ #,##0.00\ &quot;m²&quot;"/>
    <numFmt numFmtId="185" formatCode="&quot;Reentrâncias:&quot;\ #,##0.00\ &quot;m²&quot;"/>
    <numFmt numFmtId="186" formatCode="0.0000"/>
    <numFmt numFmtId="187" formatCode="0.00\ &quot;%&quot;"/>
    <numFmt numFmtId="188" formatCode="\-"/>
    <numFmt numFmtId="189" formatCode="&quot;Extensão:&quot;\ ###0\ &quot;m&quot;"/>
    <numFmt numFmtId="190" formatCode="_([$€]* #,##0.00_);_([$€]* \(#,##0.00\);_([$€]* &quot;-&quot;??_);_(@_)"/>
    <numFmt numFmtId="191" formatCode="_-* #,##0.00000_-;\-* #,##0.00000_-;_-* &quot;-&quot;??_-;_-@_-"/>
    <numFmt numFmtId="192" formatCode="_-* #,##0.0000000_-;\-* #,##0.0000000_-;_-* &quot;-&quot;??_-;_-@_-"/>
    <numFmt numFmtId="193" formatCode="_-* #,##0.0000_-;\-* #,##0.0000_-;_-* &quot;-&quot;????_-;_-@_-"/>
    <numFmt numFmtId="194" formatCode="0.0000000"/>
    <numFmt numFmtId="195" formatCode="&quot;Área:&quot;\ #,##0.00\ &quot;m&quot;"/>
    <numFmt numFmtId="196" formatCode="&quot;Bocas de Rua:&quot;\ #,##0.00\ &quot;und&quot;"/>
    <numFmt numFmtId="197" formatCode="&quot;Extensão:&quot;\ #,##0.000\ &quot;m&quot;"/>
    <numFmt numFmtId="198" formatCode="0.0%"/>
    <numFmt numFmtId="199" formatCode="#,##0.00000"/>
    <numFmt numFmtId="200" formatCode="[$-416]dddd\,\ d&quot; de &quot;mmmm&quot; de &quot;yyyy"/>
    <numFmt numFmtId="201" formatCode="&quot;Acessos:&quot;\ #,##0.00\ &quot;und&quot;"/>
    <numFmt numFmtId="202" formatCode="0.00000"/>
  </numFmts>
  <fonts count="1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6"/>
      <color indexed="10"/>
      <name val="Arial Narrow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name val="Courier"/>
      <family val="3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2"/>
      <color indexed="9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color indexed="9"/>
      <name val="Arial Narrow"/>
      <family val="2"/>
    </font>
    <font>
      <sz val="11"/>
      <name val="MS Sans Serif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4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sz val="13"/>
      <color indexed="8"/>
      <name val="Arial Narrow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Arial Narrow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sz val="14"/>
      <color rgb="FFFF0000"/>
      <name val="Arial Narrow"/>
      <family val="2"/>
    </font>
    <font>
      <sz val="10"/>
      <color rgb="FFFF000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10"/>
      <color rgb="FFFF0000"/>
      <name val="Arial Narrow"/>
      <family val="2"/>
    </font>
    <font>
      <sz val="13"/>
      <color theme="1"/>
      <name val="Arial Narrow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6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167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>
      <alignment/>
      <protection/>
    </xf>
    <xf numFmtId="43" fontId="26" fillId="0" borderId="0">
      <alignment/>
      <protection/>
    </xf>
    <xf numFmtId="43" fontId="26" fillId="0" borderId="0">
      <alignment/>
      <protection/>
    </xf>
    <xf numFmtId="0" fontId="89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89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89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89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89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89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89" fillId="1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89" fillId="1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8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8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89" fillId="19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89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90" fillId="21" borderId="0" applyNumberFormat="0" applyBorder="0" applyAlignment="0" applyProtection="0"/>
    <xf numFmtId="0" fontId="41" fillId="11" borderId="0" applyNumberFormat="0" applyBorder="0" applyAlignment="0" applyProtection="0"/>
    <xf numFmtId="0" fontId="90" fillId="22" borderId="0" applyNumberFormat="0" applyBorder="0" applyAlignment="0" applyProtection="0"/>
    <xf numFmtId="0" fontId="41" fillId="23" borderId="0" applyNumberFormat="0" applyBorder="0" applyAlignment="0" applyProtection="0"/>
    <xf numFmtId="0" fontId="90" fillId="24" borderId="0" applyNumberFormat="0" applyBorder="0" applyAlignment="0" applyProtection="0"/>
    <xf numFmtId="0" fontId="41" fillId="25" borderId="0" applyNumberFormat="0" applyBorder="0" applyAlignment="0" applyProtection="0"/>
    <xf numFmtId="0" fontId="90" fillId="26" borderId="0" applyNumberFormat="0" applyBorder="0" applyAlignment="0" applyProtection="0"/>
    <xf numFmtId="0" fontId="41" fillId="18" borderId="0" applyNumberFormat="0" applyBorder="0" applyAlignment="0" applyProtection="0"/>
    <xf numFmtId="0" fontId="90" fillId="27" borderId="0" applyNumberFormat="0" applyBorder="0" applyAlignment="0" applyProtection="0"/>
    <xf numFmtId="0" fontId="41" fillId="11" borderId="0" applyNumberFormat="0" applyBorder="0" applyAlignment="0" applyProtection="0"/>
    <xf numFmtId="0" fontId="90" fillId="28" borderId="0" applyNumberFormat="0" applyBorder="0" applyAlignment="0" applyProtection="0"/>
    <xf numFmtId="0" fontId="41" fillId="5" borderId="0" applyNumberFormat="0" applyBorder="0" applyAlignment="0" applyProtection="0"/>
    <xf numFmtId="0" fontId="91" fillId="29" borderId="0" applyNumberFormat="0" applyBorder="0" applyAlignment="0" applyProtection="0"/>
    <xf numFmtId="0" fontId="42" fillId="11" borderId="0" applyNumberFormat="0" applyBorder="0" applyAlignment="0" applyProtection="0"/>
    <xf numFmtId="0" fontId="92" fillId="30" borderId="1" applyNumberFormat="0" applyAlignment="0" applyProtection="0"/>
    <xf numFmtId="0" fontId="52" fillId="31" borderId="2" applyNumberFormat="0" applyAlignment="0" applyProtection="0"/>
    <xf numFmtId="0" fontId="93" fillId="32" borderId="3" applyNumberFormat="0" applyAlignment="0" applyProtection="0"/>
    <xf numFmtId="0" fontId="43" fillId="33" borderId="4" applyNumberFormat="0" applyAlignment="0" applyProtection="0"/>
    <xf numFmtId="0" fontId="94" fillId="0" borderId="5" applyNumberFormat="0" applyFill="0" applyAlignment="0" applyProtection="0"/>
    <xf numFmtId="0" fontId="47" fillId="0" borderId="6" applyNumberFormat="0" applyFill="0" applyAlignment="0" applyProtection="0"/>
    <xf numFmtId="0" fontId="90" fillId="34" borderId="0" applyNumberFormat="0" applyBorder="0" applyAlignment="0" applyProtection="0"/>
    <xf numFmtId="0" fontId="41" fillId="35" borderId="0" applyNumberFormat="0" applyBorder="0" applyAlignment="0" applyProtection="0"/>
    <xf numFmtId="0" fontId="90" fillId="36" borderId="0" applyNumberFormat="0" applyBorder="0" applyAlignment="0" applyProtection="0"/>
    <xf numFmtId="0" fontId="41" fillId="23" borderId="0" applyNumberFormat="0" applyBorder="0" applyAlignment="0" applyProtection="0"/>
    <xf numFmtId="0" fontId="90" fillId="37" borderId="0" applyNumberFormat="0" applyBorder="0" applyAlignment="0" applyProtection="0"/>
    <xf numFmtId="0" fontId="41" fillId="25" borderId="0" applyNumberFormat="0" applyBorder="0" applyAlignment="0" applyProtection="0"/>
    <xf numFmtId="0" fontId="90" fillId="38" borderId="0" applyNumberFormat="0" applyBorder="0" applyAlignment="0" applyProtection="0"/>
    <xf numFmtId="0" fontId="41" fillId="39" borderId="0" applyNumberFormat="0" applyBorder="0" applyAlignment="0" applyProtection="0"/>
    <xf numFmtId="0" fontId="90" fillId="40" borderId="0" applyNumberFormat="0" applyBorder="0" applyAlignment="0" applyProtection="0"/>
    <xf numFmtId="0" fontId="41" fillId="41" borderId="0" applyNumberFormat="0" applyBorder="0" applyAlignment="0" applyProtection="0"/>
    <xf numFmtId="0" fontId="90" fillId="42" borderId="0" applyNumberFormat="0" applyBorder="0" applyAlignment="0" applyProtection="0"/>
    <xf numFmtId="0" fontId="41" fillId="43" borderId="0" applyNumberFormat="0" applyBorder="0" applyAlignment="0" applyProtection="0"/>
    <xf numFmtId="0" fontId="95" fillId="44" borderId="1" applyNumberFormat="0" applyAlignment="0" applyProtection="0"/>
    <xf numFmtId="0" fontId="44" fillId="16" borderId="2" applyNumberFormat="0" applyAlignment="0" applyProtection="0"/>
    <xf numFmtId="190" fontId="5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5" borderId="0" applyNumberFormat="0" applyBorder="0" applyAlignment="0" applyProtection="0"/>
    <xf numFmtId="0" fontId="51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8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3" fillId="16" borderId="0" applyNumberFormat="0" applyBorder="0" applyAlignment="0" applyProtection="0"/>
    <xf numFmtId="0" fontId="96" fillId="4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4" fontId="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7" borderId="7" applyNumberFormat="0" applyFont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97" fillId="48" borderId="0" applyNumberFormat="0" applyBorder="0" applyAlignment="0" applyProtection="0"/>
    <xf numFmtId="0" fontId="98" fillId="30" borderId="9" applyNumberFormat="0" applyAlignment="0" applyProtection="0"/>
    <xf numFmtId="0" fontId="46" fillId="31" borderId="10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9" fillId="0" borderId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54" fillId="0" borderId="12" applyNumberFormat="0" applyFill="0" applyAlignment="0" applyProtection="0"/>
    <xf numFmtId="0" fontId="103" fillId="0" borderId="13" applyNumberFormat="0" applyFill="0" applyAlignment="0" applyProtection="0"/>
    <xf numFmtId="0" fontId="55" fillId="0" borderId="14" applyNumberFormat="0" applyFill="0" applyAlignment="0" applyProtection="0"/>
    <xf numFmtId="0" fontId="104" fillId="0" borderId="15" applyNumberFormat="0" applyFill="0" applyAlignment="0" applyProtection="0"/>
    <xf numFmtId="0" fontId="56" fillId="0" borderId="16" applyNumberFormat="0" applyFill="0" applyAlignment="0" applyProtection="0"/>
    <xf numFmtId="0" fontId="10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5" fillId="0" borderId="17" applyNumberFormat="0" applyFill="0" applyAlignment="0" applyProtection="0"/>
    <xf numFmtId="0" fontId="49" fillId="0" borderId="18" applyNumberFormat="0" applyFill="0" applyAlignment="0" applyProtection="0"/>
    <xf numFmtId="40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823">
    <xf numFmtId="0" fontId="0" fillId="0" borderId="0" xfId="0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7" fillId="0" borderId="0" xfId="16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16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4" fontId="8" fillId="0" borderId="0" xfId="161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2" fillId="0" borderId="0" xfId="122" applyFont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106" fillId="0" borderId="0" xfId="0" applyFont="1" applyAlignment="1">
      <alignment/>
    </xf>
    <xf numFmtId="171" fontId="106" fillId="0" borderId="0" xfId="161" applyNumberFormat="1" applyFont="1" applyAlignment="1">
      <alignment/>
    </xf>
    <xf numFmtId="0" fontId="8" fillId="0" borderId="19" xfId="0" applyFont="1" applyBorder="1" applyAlignment="1">
      <alignment/>
    </xf>
    <xf numFmtId="171" fontId="8" fillId="0" borderId="0" xfId="161" applyNumberFormat="1" applyFont="1" applyAlignment="1">
      <alignment/>
    </xf>
    <xf numFmtId="0" fontId="8" fillId="0" borderId="0" xfId="0" applyFont="1" applyAlignment="1">
      <alignment/>
    </xf>
    <xf numFmtId="171" fontId="8" fillId="0" borderId="19" xfId="161" applyNumberFormat="1" applyFont="1" applyBorder="1" applyAlignment="1">
      <alignment/>
    </xf>
    <xf numFmtId="4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4" fontId="8" fillId="0" borderId="21" xfId="161" applyNumberFormat="1" applyFont="1" applyFill="1" applyBorder="1" applyAlignment="1">
      <alignment horizontal="right" vertical="center"/>
    </xf>
    <xf numFmtId="4" fontId="8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10" fontId="7" fillId="0" borderId="0" xfId="125" applyNumberFormat="1" applyFont="1" applyFill="1" applyBorder="1" applyAlignment="1">
      <alignment vertical="center"/>
    </xf>
    <xf numFmtId="4" fontId="8" fillId="0" borderId="19" xfId="161" applyNumberFormat="1" applyFont="1" applyFill="1" applyBorder="1" applyAlignment="1">
      <alignment horizontal="center" vertical="center"/>
    </xf>
    <xf numFmtId="4" fontId="8" fillId="0" borderId="0" xfId="161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161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" fontId="8" fillId="0" borderId="0" xfId="161" applyNumberFormat="1" applyFont="1" applyFill="1" applyBorder="1" applyAlignment="1">
      <alignment vertical="center"/>
    </xf>
    <xf numFmtId="4" fontId="12" fillId="0" borderId="19" xfId="122" applyNumberFormat="1" applyFont="1" applyBorder="1" applyAlignment="1">
      <alignment horizontal="center" vertical="center"/>
      <protection/>
    </xf>
    <xf numFmtId="0" fontId="13" fillId="0" borderId="19" xfId="122" applyFont="1" applyBorder="1" applyAlignment="1">
      <alignment horizontal="center" vertical="center"/>
      <protection/>
    </xf>
    <xf numFmtId="0" fontId="14" fillId="0" borderId="19" xfId="122" applyFont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 wrapText="1"/>
    </xf>
    <xf numFmtId="4" fontId="14" fillId="0" borderId="19" xfId="122" applyNumberFormat="1" applyFont="1" applyFill="1" applyBorder="1" applyAlignment="1">
      <alignment horizontal="right" vertical="center"/>
      <protection/>
    </xf>
    <xf numFmtId="4" fontId="14" fillId="0" borderId="19" xfId="122" applyNumberFormat="1" applyFont="1" applyBorder="1" applyAlignment="1">
      <alignment horizontal="right" vertical="center"/>
      <protection/>
    </xf>
    <xf numFmtId="0" fontId="14" fillId="0" borderId="0" xfId="122" applyFont="1" applyAlignment="1">
      <alignment vertical="center"/>
      <protection/>
    </xf>
    <xf numFmtId="4" fontId="14" fillId="0" borderId="19" xfId="122" applyNumberFormat="1" applyFont="1" applyBorder="1" applyAlignment="1">
      <alignment horizontal="center" vertical="center"/>
      <protection/>
    </xf>
    <xf numFmtId="10" fontId="14" fillId="0" borderId="19" xfId="125" applyNumberFormat="1" applyFont="1" applyBorder="1" applyAlignment="1">
      <alignment horizontal="center" vertical="center"/>
    </xf>
    <xf numFmtId="10" fontId="14" fillId="0" borderId="19" xfId="122" applyNumberFormat="1" applyFont="1" applyFill="1" applyBorder="1" applyAlignment="1">
      <alignment horizontal="right" vertical="center"/>
      <protection/>
    </xf>
    <xf numFmtId="10" fontId="14" fillId="0" borderId="19" xfId="122" applyNumberFormat="1" applyFont="1" applyBorder="1" applyAlignment="1">
      <alignment horizontal="right" vertical="center"/>
      <protection/>
    </xf>
    <xf numFmtId="10" fontId="14" fillId="0" borderId="0" xfId="125" applyNumberFormat="1" applyFont="1" applyAlignment="1">
      <alignment vertical="center"/>
    </xf>
    <xf numFmtId="0" fontId="14" fillId="0" borderId="19" xfId="122" applyFont="1" applyBorder="1" applyAlignment="1">
      <alignment horizontal="right" vertical="center"/>
      <protection/>
    </xf>
    <xf numFmtId="10" fontId="17" fillId="31" borderId="19" xfId="122" applyNumberFormat="1" applyFont="1" applyFill="1" applyBorder="1" applyAlignment="1">
      <alignment horizontal="right" vertical="center"/>
      <protection/>
    </xf>
    <xf numFmtId="4" fontId="14" fillId="31" borderId="19" xfId="122" applyNumberFormat="1" applyFont="1" applyFill="1" applyBorder="1" applyAlignment="1">
      <alignment horizontal="right" vertical="center"/>
      <protection/>
    </xf>
    <xf numFmtId="0" fontId="11" fillId="0" borderId="19" xfId="122" applyFont="1" applyBorder="1" applyAlignment="1">
      <alignment horizontal="center" vertical="center"/>
      <protection/>
    </xf>
    <xf numFmtId="0" fontId="11" fillId="0" borderId="0" xfId="122" applyFont="1" applyAlignment="1">
      <alignment vertical="center"/>
      <protection/>
    </xf>
    <xf numFmtId="0" fontId="11" fillId="0" borderId="0" xfId="122" applyFont="1" applyAlignment="1">
      <alignment horizontal="center" vertical="center"/>
      <protection/>
    </xf>
    <xf numFmtId="174" fontId="11" fillId="0" borderId="0" xfId="122" applyNumberFormat="1" applyFont="1" applyAlignment="1">
      <alignment horizontal="right" vertical="center"/>
      <protection/>
    </xf>
    <xf numFmtId="4" fontId="11" fillId="0" borderId="0" xfId="122" applyNumberFormat="1" applyFont="1" applyAlignment="1">
      <alignment horizontal="right" vertical="center"/>
      <protection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4" fontId="8" fillId="0" borderId="25" xfId="161" applyNumberFormat="1" applyFont="1" applyFill="1" applyBorder="1" applyAlignment="1">
      <alignment horizontal="right" vertical="center"/>
    </xf>
    <xf numFmtId="4" fontId="8" fillId="0" borderId="25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left" vertical="center"/>
    </xf>
    <xf numFmtId="176" fontId="18" fillId="0" borderId="26" xfId="0" applyNumberFormat="1" applyFont="1" applyFill="1" applyBorder="1" applyAlignment="1">
      <alignment horizontal="center" vertical="center"/>
    </xf>
    <xf numFmtId="184" fontId="7" fillId="0" borderId="27" xfId="0" applyNumberFormat="1" applyFont="1" applyFill="1" applyBorder="1" applyAlignment="1">
      <alignment horizontal="left" vertical="center"/>
    </xf>
    <xf numFmtId="179" fontId="7" fillId="0" borderId="0" xfId="161" applyNumberFormat="1" applyFont="1" applyFill="1" applyBorder="1" applyAlignment="1">
      <alignment horizontal="center" vertical="center"/>
    </xf>
    <xf numFmtId="179" fontId="8" fillId="0" borderId="19" xfId="161" applyNumberFormat="1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vertical="center"/>
    </xf>
    <xf numFmtId="179" fontId="8" fillId="0" borderId="0" xfId="0" applyNumberFormat="1" applyFont="1" applyFill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178" fontId="7" fillId="0" borderId="0" xfId="0" applyNumberFormat="1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4" fontId="8" fillId="0" borderId="25" xfId="0" applyNumberFormat="1" applyFont="1" applyFill="1" applyBorder="1" applyAlignment="1">
      <alignment vertical="center"/>
    </xf>
    <xf numFmtId="49" fontId="8" fillId="0" borderId="25" xfId="93" applyNumberFormat="1" applyFont="1" applyFill="1" applyBorder="1" applyAlignment="1">
      <alignment horizontal="center" vertical="center"/>
    </xf>
    <xf numFmtId="0" fontId="8" fillId="0" borderId="25" xfId="121" applyFont="1" applyFill="1" applyBorder="1" applyAlignment="1">
      <alignment vertical="center" wrapText="1"/>
      <protection/>
    </xf>
    <xf numFmtId="4" fontId="8" fillId="0" borderId="25" xfId="0" applyNumberFormat="1" applyFont="1" applyFill="1" applyBorder="1" applyAlignment="1">
      <alignment vertical="center" wrapText="1"/>
    </xf>
    <xf numFmtId="40" fontId="8" fillId="0" borderId="25" xfId="161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179" fontId="10" fillId="0" borderId="22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187" fontId="9" fillId="16" borderId="21" xfId="126" applyNumberFormat="1" applyFill="1" applyBorder="1" applyAlignment="1" applyProtection="1">
      <alignment horizontal="center"/>
      <protection locked="0"/>
    </xf>
    <xf numFmtId="187" fontId="9" fillId="31" borderId="19" xfId="126" applyNumberFormat="1" applyFill="1" applyBorder="1" applyAlignment="1" applyProtection="1">
      <alignment horizontal="center"/>
      <protection/>
    </xf>
    <xf numFmtId="187" fontId="9" fillId="16" borderId="21" xfId="126" applyNumberFormat="1" applyFont="1" applyFill="1" applyBorder="1" applyAlignment="1" applyProtection="1">
      <alignment horizontal="center"/>
      <protection locked="0"/>
    </xf>
    <xf numFmtId="187" fontId="25" fillId="31" borderId="21" xfId="126" applyNumberFormat="1" applyFont="1" applyFill="1" applyBorder="1" applyAlignment="1" applyProtection="1">
      <alignment horizontal="center"/>
      <protection/>
    </xf>
    <xf numFmtId="187" fontId="25" fillId="31" borderId="19" xfId="126" applyNumberFormat="1" applyFont="1" applyFill="1" applyBorder="1" applyAlignment="1" applyProtection="1">
      <alignment horizontal="center"/>
      <protection/>
    </xf>
    <xf numFmtId="187" fontId="25" fillId="31" borderId="0" xfId="126" applyNumberFormat="1" applyFont="1" applyFill="1" applyBorder="1" applyAlignment="1" applyProtection="1">
      <alignment horizontal="center"/>
      <protection/>
    </xf>
    <xf numFmtId="187" fontId="29" fillId="16" borderId="29" xfId="126" applyNumberFormat="1" applyFont="1" applyFill="1" applyBorder="1" applyAlignment="1" applyProtection="1">
      <alignment horizontal="center"/>
      <protection/>
    </xf>
    <xf numFmtId="187" fontId="29" fillId="31" borderId="29" xfId="126" applyNumberFormat="1" applyFont="1" applyFill="1" applyBorder="1" applyAlignment="1" applyProtection="1">
      <alignment horizontal="center"/>
      <protection/>
    </xf>
    <xf numFmtId="187" fontId="29" fillId="31" borderId="30" xfId="126" applyNumberFormat="1" applyFont="1" applyFill="1" applyBorder="1" applyAlignment="1" applyProtection="1">
      <alignment horizontal="center"/>
      <protection/>
    </xf>
    <xf numFmtId="187" fontId="37" fillId="31" borderId="30" xfId="126" applyNumberFormat="1" applyFont="1" applyFill="1" applyBorder="1" applyAlignment="1" applyProtection="1">
      <alignment horizontal="center"/>
      <protection/>
    </xf>
    <xf numFmtId="0" fontId="14" fillId="0" borderId="0" xfId="112" applyFont="1" applyBorder="1" applyAlignment="1" applyProtection="1">
      <alignment vertical="center"/>
      <protection/>
    </xf>
    <xf numFmtId="14" fontId="13" fillId="0" borderId="0" xfId="112" applyNumberFormat="1" applyFont="1" applyFill="1" applyBorder="1" applyAlignment="1" applyProtection="1">
      <alignment vertical="center"/>
      <protection/>
    </xf>
    <xf numFmtId="0" fontId="13" fillId="0" borderId="0" xfId="112" applyFont="1" applyFill="1" applyBorder="1" applyAlignment="1" applyProtection="1">
      <alignment vertical="center"/>
      <protection/>
    </xf>
    <xf numFmtId="0" fontId="14" fillId="0" borderId="0" xfId="112" applyFont="1" applyFill="1" applyBorder="1" applyAlignment="1" applyProtection="1">
      <alignment vertical="center"/>
      <protection/>
    </xf>
    <xf numFmtId="0" fontId="13" fillId="0" borderId="0" xfId="112" applyFont="1" applyBorder="1" applyAlignment="1" applyProtection="1">
      <alignment horizontal="centerContinuous" vertical="center"/>
      <protection/>
    </xf>
    <xf numFmtId="10" fontId="13" fillId="0" borderId="0" xfId="129" applyNumberFormat="1" applyFont="1" applyFill="1" applyBorder="1" applyAlignment="1" applyProtection="1">
      <alignment horizontal="centerContinuous" vertical="center"/>
      <protection/>
    </xf>
    <xf numFmtId="0" fontId="14" fillId="0" borderId="0" xfId="112" applyFont="1" applyFill="1" applyAlignment="1" applyProtection="1">
      <alignment vertical="center"/>
      <protection/>
    </xf>
    <xf numFmtId="10" fontId="14" fillId="0" borderId="0" xfId="129" applyNumberFormat="1" applyFont="1" applyBorder="1" applyAlignment="1" applyProtection="1">
      <alignment vertical="center"/>
      <protection/>
    </xf>
    <xf numFmtId="0" fontId="14" fillId="0" borderId="0" xfId="112" applyFont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0" fontId="10" fillId="0" borderId="25" xfId="125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4" fontId="8" fillId="0" borderId="20" xfId="161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center" vertical="center"/>
    </xf>
    <xf numFmtId="10" fontId="10" fillId="0" borderId="21" xfId="125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/>
    </xf>
    <xf numFmtId="171" fontId="8" fillId="0" borderId="31" xfId="161" applyNumberFormat="1" applyFont="1" applyFill="1" applyBorder="1" applyAlignment="1">
      <alignment/>
    </xf>
    <xf numFmtId="0" fontId="8" fillId="49" borderId="0" xfId="0" applyFont="1" applyFill="1" applyAlignment="1">
      <alignment/>
    </xf>
    <xf numFmtId="0" fontId="8" fillId="0" borderId="27" xfId="0" applyFont="1" applyFill="1" applyBorder="1" applyAlignment="1">
      <alignment/>
    </xf>
    <xf numFmtId="171" fontId="8" fillId="49" borderId="26" xfId="161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171" fontId="8" fillId="49" borderId="33" xfId="161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1" fontId="8" fillId="0" borderId="0" xfId="161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171" fontId="8" fillId="49" borderId="34" xfId="161" applyNumberFormat="1" applyFont="1" applyFill="1" applyBorder="1" applyAlignment="1">
      <alignment/>
    </xf>
    <xf numFmtId="0" fontId="8" fillId="0" borderId="32" xfId="0" applyFont="1" applyBorder="1" applyAlignment="1">
      <alignment/>
    </xf>
    <xf numFmtId="10" fontId="14" fillId="0" borderId="19" xfId="125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43" fontId="8" fillId="0" borderId="0" xfId="0" applyNumberFormat="1" applyFont="1" applyAlignment="1">
      <alignment/>
    </xf>
    <xf numFmtId="4" fontId="7" fillId="50" borderId="0" xfId="161" applyNumberFormat="1" applyFont="1" applyFill="1" applyBorder="1" applyAlignment="1">
      <alignment horizontal="left" vertical="center"/>
    </xf>
    <xf numFmtId="184" fontId="7" fillId="50" borderId="0" xfId="0" applyNumberFormat="1" applyFont="1" applyFill="1" applyBorder="1" applyAlignment="1">
      <alignment horizontal="left" vertical="center"/>
    </xf>
    <xf numFmtId="4" fontId="7" fillId="50" borderId="0" xfId="161" applyNumberFormat="1" applyFont="1" applyFill="1" applyBorder="1" applyAlignment="1">
      <alignment horizontal="center" vertical="center"/>
    </xf>
    <xf numFmtId="179" fontId="7" fillId="50" borderId="0" xfId="161" applyNumberFormat="1" applyFont="1" applyFill="1" applyBorder="1" applyAlignment="1">
      <alignment horizontal="center" vertical="center"/>
    </xf>
    <xf numFmtId="4" fontId="7" fillId="50" borderId="0" xfId="161" applyNumberFormat="1" applyFont="1" applyFill="1" applyBorder="1" applyAlignment="1">
      <alignment vertical="center"/>
    </xf>
    <xf numFmtId="176" fontId="18" fillId="50" borderId="26" xfId="0" applyNumberFormat="1" applyFont="1" applyFill="1" applyBorder="1" applyAlignment="1">
      <alignment horizontal="center" vertical="center"/>
    </xf>
    <xf numFmtId="4" fontId="7" fillId="50" borderId="28" xfId="161" applyNumberFormat="1" applyFont="1" applyFill="1" applyBorder="1" applyAlignment="1">
      <alignment horizontal="left" vertical="center"/>
    </xf>
    <xf numFmtId="184" fontId="7" fillId="50" borderId="22" xfId="0" applyNumberFormat="1" applyFont="1" applyFill="1" applyBorder="1" applyAlignment="1">
      <alignment horizontal="left" vertical="center"/>
    </xf>
    <xf numFmtId="4" fontId="7" fillId="50" borderId="22" xfId="161" applyNumberFormat="1" applyFont="1" applyFill="1" applyBorder="1" applyAlignment="1">
      <alignment horizontal="center" vertical="center"/>
    </xf>
    <xf numFmtId="179" fontId="7" fillId="50" borderId="22" xfId="161" applyNumberFormat="1" applyFont="1" applyFill="1" applyBorder="1" applyAlignment="1">
      <alignment horizontal="center" vertical="center"/>
    </xf>
    <xf numFmtId="4" fontId="7" fillId="50" borderId="22" xfId="161" applyNumberFormat="1" applyFont="1" applyFill="1" applyBorder="1" applyAlignment="1">
      <alignment vertical="center"/>
    </xf>
    <xf numFmtId="176" fontId="18" fillId="50" borderId="31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vertical="center"/>
    </xf>
    <xf numFmtId="4" fontId="108" fillId="0" borderId="0" xfId="161" applyNumberFormat="1" applyFont="1" applyFill="1" applyBorder="1" applyAlignment="1">
      <alignment vertical="center"/>
    </xf>
    <xf numFmtId="0" fontId="108" fillId="0" borderId="20" xfId="0" applyFont="1" applyFill="1" applyBorder="1" applyAlignment="1">
      <alignment vertical="center"/>
    </xf>
    <xf numFmtId="0" fontId="109" fillId="0" borderId="25" xfId="0" applyFont="1" applyFill="1" applyBorder="1" applyAlignment="1">
      <alignment vertical="center"/>
    </xf>
    <xf numFmtId="0" fontId="108" fillId="0" borderId="25" xfId="0" applyFont="1" applyFill="1" applyBorder="1" applyAlignment="1">
      <alignment vertical="center" wrapText="1"/>
    </xf>
    <xf numFmtId="0" fontId="108" fillId="0" borderId="21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22" xfId="0" applyFont="1" applyFill="1" applyBorder="1" applyAlignment="1">
      <alignment vertical="center"/>
    </xf>
    <xf numFmtId="4" fontId="110" fillId="0" borderId="0" xfId="0" applyNumberFormat="1" applyFont="1" applyFill="1" applyAlignment="1">
      <alignment horizontal="center" vertical="center"/>
    </xf>
    <xf numFmtId="0" fontId="8" fillId="0" borderId="25" xfId="93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4" fontId="8" fillId="0" borderId="25" xfId="0" applyNumberFormat="1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4" fontId="8" fillId="0" borderId="25" xfId="0" applyNumberFormat="1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2" fontId="9" fillId="16" borderId="19" xfId="126" applyNumberFormat="1" applyFill="1" applyBorder="1" applyAlignment="1" applyProtection="1">
      <alignment horizontal="right"/>
      <protection locked="0"/>
    </xf>
    <xf numFmtId="0" fontId="19" fillId="31" borderId="0" xfId="103" applyFont="1" applyFill="1">
      <alignment/>
      <protection/>
    </xf>
    <xf numFmtId="0" fontId="9" fillId="31" borderId="0" xfId="103" applyFill="1">
      <alignment/>
      <protection/>
    </xf>
    <xf numFmtId="0" fontId="9" fillId="31" borderId="0" xfId="103" applyFill="1" applyAlignment="1">
      <alignment horizontal="center"/>
      <protection/>
    </xf>
    <xf numFmtId="0" fontId="20" fillId="31" borderId="0" xfId="103" applyFont="1" applyFill="1">
      <alignment/>
      <protection/>
    </xf>
    <xf numFmtId="0" fontId="21" fillId="31" borderId="0" xfId="103" applyFont="1" applyFill="1" applyAlignment="1">
      <alignment horizontal="center"/>
      <protection/>
    </xf>
    <xf numFmtId="0" fontId="20" fillId="31" borderId="0" xfId="103" applyFont="1" applyFill="1" applyAlignment="1">
      <alignment horizontal="center"/>
      <protection/>
    </xf>
    <xf numFmtId="0" fontId="9" fillId="31" borderId="0" xfId="103" applyFill="1" applyAlignment="1">
      <alignment horizontal="left"/>
      <protection/>
    </xf>
    <xf numFmtId="0" fontId="9" fillId="16" borderId="23" xfId="0" applyFont="1" applyFill="1" applyBorder="1" applyAlignment="1" applyProtection="1">
      <alignment/>
      <protection locked="0"/>
    </xf>
    <xf numFmtId="0" fontId="9" fillId="16" borderId="19" xfId="103" applyFill="1" applyBorder="1" applyProtection="1">
      <alignment/>
      <protection locked="0"/>
    </xf>
    <xf numFmtId="0" fontId="21" fillId="31" borderId="0" xfId="103" applyFont="1" applyFill="1">
      <alignment/>
      <protection/>
    </xf>
    <xf numFmtId="0" fontId="111" fillId="31" borderId="0" xfId="103" applyFont="1" applyFill="1">
      <alignment/>
      <protection/>
    </xf>
    <xf numFmtId="0" fontId="9" fillId="31" borderId="0" xfId="103" applyFill="1" applyAlignment="1">
      <alignment horizontal="left" vertical="center"/>
      <protection/>
    </xf>
    <xf numFmtId="0" fontId="9" fillId="31" borderId="0" xfId="103" applyFill="1" applyAlignment="1" applyProtection="1">
      <alignment horizontal="left"/>
      <protection locked="0"/>
    </xf>
    <xf numFmtId="0" fontId="9" fillId="31" borderId="0" xfId="103" applyFill="1" applyProtection="1">
      <alignment/>
      <protection locked="0"/>
    </xf>
    <xf numFmtId="171" fontId="9" fillId="16" borderId="19" xfId="162" applyFont="1" applyFill="1" applyBorder="1" applyAlignment="1" applyProtection="1">
      <alignment horizontal="right" vertical="center"/>
      <protection locked="0"/>
    </xf>
    <xf numFmtId="0" fontId="24" fillId="33" borderId="35" xfId="103" applyFont="1" applyFill="1" applyBorder="1" applyAlignment="1">
      <alignment horizontal="center"/>
      <protection/>
    </xf>
    <xf numFmtId="0" fontId="24" fillId="33" borderId="36" xfId="103" applyFont="1" applyFill="1" applyBorder="1" applyAlignment="1">
      <alignment horizontal="center"/>
      <protection/>
    </xf>
    <xf numFmtId="0" fontId="9" fillId="31" borderId="21" xfId="103" applyFill="1" applyBorder="1" applyAlignment="1">
      <alignment horizontal="center"/>
      <protection/>
    </xf>
    <xf numFmtId="187" fontId="9" fillId="31" borderId="21" xfId="103" applyNumberFormat="1" applyFill="1" applyBorder="1" applyAlignment="1">
      <alignment horizontal="center"/>
      <protection/>
    </xf>
    <xf numFmtId="2" fontId="20" fillId="31" borderId="0" xfId="103" applyNumberFormat="1" applyFont="1" applyFill="1">
      <alignment/>
      <protection/>
    </xf>
    <xf numFmtId="0" fontId="9" fillId="31" borderId="19" xfId="103" applyFill="1" applyBorder="1" applyAlignment="1">
      <alignment horizontal="center"/>
      <protection/>
    </xf>
    <xf numFmtId="0" fontId="9" fillId="31" borderId="23" xfId="103" applyFill="1" applyBorder="1" applyAlignment="1">
      <alignment horizontal="left" indent="1"/>
      <protection/>
    </xf>
    <xf numFmtId="0" fontId="9" fillId="31" borderId="24" xfId="103" applyFill="1" applyBorder="1" applyAlignment="1">
      <alignment horizontal="left" indent="1"/>
      <protection/>
    </xf>
    <xf numFmtId="0" fontId="9" fillId="31" borderId="34" xfId="103" applyFill="1" applyBorder="1" applyAlignment="1">
      <alignment horizontal="left" indent="1"/>
      <protection/>
    </xf>
    <xf numFmtId="0" fontId="9" fillId="31" borderId="34" xfId="103" applyFill="1" applyBorder="1">
      <alignment/>
      <protection/>
    </xf>
    <xf numFmtId="0" fontId="9" fillId="31" borderId="32" xfId="103" applyFill="1" applyBorder="1" applyAlignment="1">
      <alignment horizontal="left" indent="1"/>
      <protection/>
    </xf>
    <xf numFmtId="0" fontId="9" fillId="31" borderId="33" xfId="103" applyFill="1" applyBorder="1" applyAlignment="1">
      <alignment horizontal="left" indent="1"/>
      <protection/>
    </xf>
    <xf numFmtId="0" fontId="9" fillId="31" borderId="33" xfId="103" applyFill="1" applyBorder="1">
      <alignment/>
      <protection/>
    </xf>
    <xf numFmtId="2" fontId="9" fillId="31" borderId="0" xfId="103" applyNumberFormat="1" applyFill="1" applyAlignment="1">
      <alignment horizontal="center"/>
      <protection/>
    </xf>
    <xf numFmtId="0" fontId="24" fillId="51" borderId="35" xfId="103" applyFont="1" applyFill="1" applyBorder="1" applyAlignment="1">
      <alignment horizontal="center"/>
      <protection/>
    </xf>
    <xf numFmtId="0" fontId="24" fillId="51" borderId="36" xfId="103" applyFont="1" applyFill="1" applyBorder="1" applyAlignment="1">
      <alignment horizontal="center"/>
      <protection/>
    </xf>
    <xf numFmtId="0" fontId="19" fillId="31" borderId="0" xfId="103" applyFont="1" applyFill="1" applyAlignment="1">
      <alignment horizontal="left" indent="2"/>
      <protection/>
    </xf>
    <xf numFmtId="0" fontId="29" fillId="31" borderId="0" xfId="103" applyFont="1" applyFill="1">
      <alignment/>
      <protection/>
    </xf>
    <xf numFmtId="0" fontId="29" fillId="31" borderId="0" xfId="103" applyFont="1" applyFill="1" applyAlignment="1">
      <alignment horizontal="center"/>
      <protection/>
    </xf>
    <xf numFmtId="0" fontId="29" fillId="31" borderId="0" xfId="103" applyFont="1" applyFill="1" applyAlignment="1">
      <alignment horizontal="justify"/>
      <protection/>
    </xf>
    <xf numFmtId="0" fontId="29" fillId="52" borderId="0" xfId="103" applyFont="1" applyFill="1" applyAlignment="1">
      <alignment horizontal="justify"/>
      <protection/>
    </xf>
    <xf numFmtId="0" fontId="32" fillId="52" borderId="0" xfId="103" applyFont="1" applyFill="1">
      <alignment/>
      <protection/>
    </xf>
    <xf numFmtId="0" fontId="29" fillId="31" borderId="37" xfId="103" applyFont="1" applyFill="1" applyBorder="1">
      <alignment/>
      <protection/>
    </xf>
    <xf numFmtId="0" fontId="29" fillId="31" borderId="38" xfId="103" applyFont="1" applyFill="1" applyBorder="1">
      <alignment/>
      <protection/>
    </xf>
    <xf numFmtId="0" fontId="29" fillId="52" borderId="0" xfId="103" applyFont="1" applyFill="1" applyAlignment="1">
      <alignment horizontal="center"/>
      <protection/>
    </xf>
    <xf numFmtId="0" fontId="29" fillId="52" borderId="0" xfId="103" applyFont="1" applyFill="1">
      <alignment/>
      <protection/>
    </xf>
    <xf numFmtId="0" fontId="34" fillId="52" borderId="0" xfId="103" applyFont="1" applyFill="1" applyAlignment="1">
      <alignment vertical="center" wrapText="1"/>
      <protection/>
    </xf>
    <xf numFmtId="0" fontId="35" fillId="33" borderId="36" xfId="103" applyFont="1" applyFill="1" applyBorder="1" applyAlignment="1">
      <alignment horizontal="center"/>
      <protection/>
    </xf>
    <xf numFmtId="0" fontId="35" fillId="52" borderId="0" xfId="103" applyFont="1" applyFill="1" applyAlignment="1">
      <alignment horizontal="center"/>
      <protection/>
    </xf>
    <xf numFmtId="0" fontId="29" fillId="31" borderId="39" xfId="103" applyFont="1" applyFill="1" applyBorder="1" applyAlignment="1">
      <alignment horizontal="center"/>
      <protection/>
    </xf>
    <xf numFmtId="187" fontId="29" fillId="52" borderId="0" xfId="103" applyNumberFormat="1" applyFont="1" applyFill="1" applyAlignment="1">
      <alignment horizontal="center"/>
      <protection/>
    </xf>
    <xf numFmtId="0" fontId="29" fillId="31" borderId="40" xfId="103" applyFont="1" applyFill="1" applyBorder="1" applyAlignment="1">
      <alignment horizontal="center"/>
      <protection/>
    </xf>
    <xf numFmtId="0" fontId="29" fillId="31" borderId="23" xfId="103" applyFont="1" applyFill="1" applyBorder="1" applyAlignment="1">
      <alignment horizontal="left" indent="1"/>
      <protection/>
    </xf>
    <xf numFmtId="0" fontId="29" fillId="31" borderId="34" xfId="103" applyFont="1" applyFill="1" applyBorder="1" applyAlignment="1">
      <alignment horizontal="left" indent="1"/>
      <protection/>
    </xf>
    <xf numFmtId="0" fontId="29" fillId="31" borderId="41" xfId="103" applyFont="1" applyFill="1" applyBorder="1" applyAlignment="1">
      <alignment horizontal="center"/>
      <protection/>
    </xf>
    <xf numFmtId="0" fontId="29" fillId="31" borderId="42" xfId="103" applyFont="1" applyFill="1" applyBorder="1" applyAlignment="1">
      <alignment horizontal="left" indent="1"/>
      <protection/>
    </xf>
    <xf numFmtId="0" fontId="29" fillId="31" borderId="43" xfId="103" applyFont="1" applyFill="1" applyBorder="1" applyAlignment="1">
      <alignment horizontal="left" indent="1"/>
      <protection/>
    </xf>
    <xf numFmtId="2" fontId="29" fillId="31" borderId="0" xfId="103" applyNumberFormat="1" applyFont="1" applyFill="1" applyAlignment="1">
      <alignment horizontal="center"/>
      <protection/>
    </xf>
    <xf numFmtId="0" fontId="29" fillId="31" borderId="44" xfId="103" applyFont="1" applyFill="1" applyBorder="1">
      <alignment/>
      <protection/>
    </xf>
    <xf numFmtId="0" fontId="29" fillId="31" borderId="45" xfId="103" applyFont="1" applyFill="1" applyBorder="1" applyAlignment="1">
      <alignment horizontal="center" vertical="top"/>
      <protection/>
    </xf>
    <xf numFmtId="0" fontId="36" fillId="31" borderId="0" xfId="103" applyFont="1" applyFill="1">
      <alignment/>
      <protection/>
    </xf>
    <xf numFmtId="10" fontId="7" fillId="0" borderId="0" xfId="125" applyNumberFormat="1" applyFont="1" applyFill="1" applyBorder="1" applyAlignment="1">
      <alignment horizontal="left" vertical="center"/>
    </xf>
    <xf numFmtId="0" fontId="8" fillId="0" borderId="25" xfId="121" applyFont="1" applyBorder="1" applyAlignment="1">
      <alignment vertical="center" wrapText="1"/>
      <protection/>
    </xf>
    <xf numFmtId="0" fontId="8" fillId="0" borderId="19" xfId="0" applyFont="1" applyBorder="1" applyAlignment="1">
      <alignment vertical="center" wrapText="1"/>
    </xf>
    <xf numFmtId="4" fontId="8" fillId="0" borderId="19" xfId="0" applyNumberFormat="1" applyFont="1" applyBorder="1" applyAlignment="1">
      <alignment horizontal="right" vertical="center"/>
    </xf>
    <xf numFmtId="0" fontId="8" fillId="52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52" borderId="19" xfId="0" applyFont="1" applyFill="1" applyBorder="1" applyAlignment="1">
      <alignment vertical="center" wrapText="1"/>
    </xf>
    <xf numFmtId="4" fontId="8" fillId="52" borderId="19" xfId="161" applyNumberFormat="1" applyFont="1" applyFill="1" applyBorder="1" applyAlignment="1">
      <alignment horizontal="center" vertical="center"/>
    </xf>
    <xf numFmtId="179" fontId="8" fillId="52" borderId="19" xfId="161" applyNumberFormat="1" applyFont="1" applyFill="1" applyBorder="1" applyAlignment="1">
      <alignment horizontal="center" vertical="center"/>
    </xf>
    <xf numFmtId="4" fontId="8" fillId="52" borderId="19" xfId="0" applyNumberFormat="1" applyFont="1" applyFill="1" applyBorder="1" applyAlignment="1">
      <alignment horizontal="right" vertical="center"/>
    </xf>
    <xf numFmtId="4" fontId="7" fillId="13" borderId="28" xfId="161" applyNumberFormat="1" applyFont="1" applyFill="1" applyBorder="1" applyAlignment="1">
      <alignment horizontal="left" vertical="center"/>
    </xf>
    <xf numFmtId="184" fontId="7" fillId="13" borderId="22" xfId="0" applyNumberFormat="1" applyFont="1" applyFill="1" applyBorder="1" applyAlignment="1">
      <alignment horizontal="left" vertical="center"/>
    </xf>
    <xf numFmtId="4" fontId="7" fillId="13" borderId="22" xfId="161" applyNumberFormat="1" applyFont="1" applyFill="1" applyBorder="1" applyAlignment="1">
      <alignment horizontal="center" vertical="center"/>
    </xf>
    <xf numFmtId="179" fontId="7" fillId="13" borderId="22" xfId="161" applyNumberFormat="1" applyFont="1" applyFill="1" applyBorder="1" applyAlignment="1">
      <alignment horizontal="center" vertical="center"/>
    </xf>
    <xf numFmtId="4" fontId="7" fillId="13" borderId="22" xfId="161" applyNumberFormat="1" applyFont="1" applyFill="1" applyBorder="1" applyAlignment="1">
      <alignment vertical="center"/>
    </xf>
    <xf numFmtId="176" fontId="18" fillId="13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31" borderId="0" xfId="0" applyFont="1" applyFill="1" applyBorder="1" applyAlignment="1">
      <alignment vertical="center"/>
    </xf>
    <xf numFmtId="0" fontId="16" fillId="31" borderId="0" xfId="0" applyFont="1" applyFill="1" applyBorder="1" applyAlignment="1">
      <alignment vertical="center" wrapText="1"/>
    </xf>
    <xf numFmtId="179" fontId="8" fillId="0" borderId="19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8" fillId="52" borderId="0" xfId="0" applyFont="1" applyFill="1" applyAlignment="1">
      <alignment vertical="center"/>
    </xf>
    <xf numFmtId="4" fontId="10" fillId="52" borderId="19" xfId="0" applyNumberFormat="1" applyFont="1" applyFill="1" applyBorder="1" applyAlignment="1">
      <alignment horizontal="center" vertical="center" wrapText="1"/>
    </xf>
    <xf numFmtId="4" fontId="8" fillId="52" borderId="19" xfId="0" applyNumberFormat="1" applyFont="1" applyFill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19" xfId="161" applyNumberFormat="1" applyFont="1" applyFill="1" applyBorder="1" applyAlignment="1">
      <alignment vertical="center"/>
    </xf>
    <xf numFmtId="0" fontId="10" fillId="52" borderId="23" xfId="0" applyFont="1" applyFill="1" applyBorder="1" applyAlignment="1">
      <alignment vertical="center"/>
    </xf>
    <xf numFmtId="0" fontId="10" fillId="52" borderId="24" xfId="0" applyFont="1" applyFill="1" applyBorder="1" applyAlignment="1">
      <alignment vertical="center"/>
    </xf>
    <xf numFmtId="0" fontId="10" fillId="52" borderId="24" xfId="0" applyFont="1" applyFill="1" applyBorder="1" applyAlignment="1">
      <alignment horizontal="center" vertical="center"/>
    </xf>
    <xf numFmtId="179" fontId="10" fillId="52" borderId="24" xfId="0" applyNumberFormat="1" applyFont="1" applyFill="1" applyBorder="1" applyAlignment="1">
      <alignment vertical="center"/>
    </xf>
    <xf numFmtId="4" fontId="10" fillId="52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91" fontId="8" fillId="0" borderId="0" xfId="0" applyNumberFormat="1" applyFont="1" applyAlignment="1">
      <alignment/>
    </xf>
    <xf numFmtId="192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194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7" fontId="7" fillId="0" borderId="0" xfId="0" applyNumberFormat="1" applyFont="1" applyFill="1" applyBorder="1" applyAlignment="1">
      <alignment horizontal="left" vertical="center"/>
    </xf>
    <xf numFmtId="4" fontId="10" fillId="52" borderId="19" xfId="0" applyNumberFormat="1" applyFont="1" applyFill="1" applyBorder="1" applyAlignment="1">
      <alignment horizontal="center" vertical="center"/>
    </xf>
    <xf numFmtId="4" fontId="13" fillId="31" borderId="0" xfId="137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8" fillId="52" borderId="0" xfId="0" applyFont="1" applyFill="1" applyAlignment="1">
      <alignment vertical="center"/>
    </xf>
    <xf numFmtId="0" fontId="11" fillId="5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74" fontId="112" fillId="0" borderId="0" xfId="111" applyNumberFormat="1" applyFont="1" applyAlignment="1">
      <alignment horizontal="left" vertical="center"/>
      <protection/>
    </xf>
    <xf numFmtId="174" fontId="112" fillId="0" borderId="0" xfId="111" applyNumberFormat="1" applyFont="1" applyAlignment="1">
      <alignment horizontal="center" vertical="center"/>
      <protection/>
    </xf>
    <xf numFmtId="0" fontId="112" fillId="0" borderId="0" xfId="111" applyFont="1" applyAlignment="1">
      <alignment horizontal="center" vertical="center"/>
      <protection/>
    </xf>
    <xf numFmtId="181" fontId="112" fillId="0" borderId="0" xfId="111" applyNumberFormat="1" applyFont="1" applyAlignment="1">
      <alignment horizontal="left" vertical="center"/>
      <protection/>
    </xf>
    <xf numFmtId="174" fontId="112" fillId="0" borderId="19" xfId="111" applyNumberFormat="1" applyFont="1" applyBorder="1" applyAlignment="1">
      <alignment horizontal="center" vertical="center"/>
      <protection/>
    </xf>
    <xf numFmtId="174" fontId="113" fillId="0" borderId="25" xfId="111" applyNumberFormat="1" applyFont="1" applyBorder="1" applyAlignment="1">
      <alignment horizontal="center" vertical="center"/>
      <protection/>
    </xf>
    <xf numFmtId="2" fontId="59" fillId="0" borderId="25" xfId="0" applyNumberFormat="1" applyFont="1" applyBorder="1" applyAlignment="1">
      <alignment horizontal="center" vertical="center"/>
    </xf>
    <xf numFmtId="0" fontId="113" fillId="0" borderId="0" xfId="111" applyFont="1" applyAlignment="1">
      <alignment horizontal="center" vertical="center"/>
      <protection/>
    </xf>
    <xf numFmtId="179" fontId="113" fillId="0" borderId="0" xfId="111" applyNumberFormat="1" applyFont="1" applyAlignment="1">
      <alignment horizontal="center" vertical="center"/>
      <protection/>
    </xf>
    <xf numFmtId="43" fontId="112" fillId="0" borderId="23" xfId="164" applyFont="1" applyFill="1" applyBorder="1" applyAlignment="1">
      <alignment vertical="center"/>
    </xf>
    <xf numFmtId="43" fontId="112" fillId="0" borderId="34" xfId="164" applyFont="1" applyFill="1" applyBorder="1" applyAlignment="1">
      <alignment vertical="center"/>
    </xf>
    <xf numFmtId="174" fontId="112" fillId="0" borderId="23" xfId="111" applyNumberFormat="1" applyFont="1" applyBorder="1" applyAlignment="1">
      <alignment horizontal="center" vertical="center"/>
      <protection/>
    </xf>
    <xf numFmtId="181" fontId="113" fillId="0" borderId="0" xfId="111" applyNumberFormat="1" applyFont="1" applyAlignment="1">
      <alignment horizontal="center" vertical="center"/>
      <protection/>
    </xf>
    <xf numFmtId="174" fontId="113" fillId="0" borderId="0" xfId="111" applyNumberFormat="1" applyFont="1" applyAlignment="1">
      <alignment horizontal="center" vertical="center"/>
      <protection/>
    </xf>
    <xf numFmtId="0" fontId="112" fillId="0" borderId="0" xfId="114" applyFont="1">
      <alignment/>
      <protection/>
    </xf>
    <xf numFmtId="0" fontId="113" fillId="0" borderId="0" xfId="114" applyFont="1">
      <alignment/>
      <protection/>
    </xf>
    <xf numFmtId="0" fontId="114" fillId="0" borderId="19" xfId="114" applyFont="1" applyBorder="1" applyAlignment="1">
      <alignment horizontal="center" vertical="center"/>
      <protection/>
    </xf>
    <xf numFmtId="0" fontId="114" fillId="0" borderId="19" xfId="114" applyFont="1" applyBorder="1" applyAlignment="1">
      <alignment vertical="center"/>
      <protection/>
    </xf>
    <xf numFmtId="0" fontId="113" fillId="0" borderId="19" xfId="114" applyFont="1" applyBorder="1" applyAlignment="1">
      <alignment horizontal="center" vertical="center"/>
      <protection/>
    </xf>
    <xf numFmtId="0" fontId="113" fillId="0" borderId="0" xfId="114" applyFont="1" applyAlignment="1">
      <alignment horizontal="center" vertical="center"/>
      <protection/>
    </xf>
    <xf numFmtId="0" fontId="12" fillId="31" borderId="0" xfId="103" applyFont="1" applyFill="1" applyProtection="1">
      <alignment/>
      <protection/>
    </xf>
    <xf numFmtId="0" fontId="11" fillId="31" borderId="0" xfId="103" applyFont="1" applyFill="1" applyProtection="1">
      <alignment/>
      <protection/>
    </xf>
    <xf numFmtId="0" fontId="11" fillId="31" borderId="0" xfId="103" applyFont="1" applyFill="1" applyAlignment="1" applyProtection="1">
      <alignment horizontal="center"/>
      <protection/>
    </xf>
    <xf numFmtId="0" fontId="60" fillId="31" borderId="0" xfId="103" applyFont="1" applyFill="1" applyProtection="1">
      <alignment/>
      <protection/>
    </xf>
    <xf numFmtId="0" fontId="61" fillId="31" borderId="0" xfId="103" applyFont="1" applyFill="1" applyAlignment="1" applyProtection="1">
      <alignment horizontal="center"/>
      <protection/>
    </xf>
    <xf numFmtId="0" fontId="60" fillId="31" borderId="0" xfId="103" applyFont="1" applyFill="1" applyBorder="1" applyProtection="1">
      <alignment/>
      <protection/>
    </xf>
    <xf numFmtId="0" fontId="60" fillId="31" borderId="0" xfId="103" applyFont="1" applyFill="1" applyBorder="1" applyAlignment="1" applyProtection="1">
      <alignment horizontal="center"/>
      <protection/>
    </xf>
    <xf numFmtId="0" fontId="11" fillId="31" borderId="0" xfId="103" applyFont="1" applyFill="1" applyBorder="1" applyProtection="1">
      <alignment/>
      <protection/>
    </xf>
    <xf numFmtId="0" fontId="11" fillId="31" borderId="0" xfId="103" applyFont="1" applyFill="1" applyAlignment="1" applyProtection="1">
      <alignment horizontal="left"/>
      <protection/>
    </xf>
    <xf numFmtId="0" fontId="11" fillId="16" borderId="23" xfId="0" applyFont="1" applyFill="1" applyBorder="1" applyAlignment="1" applyProtection="1">
      <alignment/>
      <protection locked="0"/>
    </xf>
    <xf numFmtId="0" fontId="11" fillId="16" borderId="19" xfId="103" applyFont="1" applyFill="1" applyBorder="1" applyAlignment="1" applyProtection="1">
      <alignment/>
      <protection locked="0"/>
    </xf>
    <xf numFmtId="0" fontId="60" fillId="31" borderId="0" xfId="103" applyFont="1" applyFill="1" applyBorder="1" applyAlignment="1" applyProtection="1">
      <alignment/>
      <protection/>
    </xf>
    <xf numFmtId="0" fontId="61" fillId="31" borderId="0" xfId="103" applyFont="1" applyFill="1" applyBorder="1" applyProtection="1">
      <alignment/>
      <protection/>
    </xf>
    <xf numFmtId="0" fontId="115" fillId="31" borderId="0" xfId="103" applyFont="1" applyFill="1" applyProtection="1">
      <alignment/>
      <protection/>
    </xf>
    <xf numFmtId="0" fontId="61" fillId="31" borderId="0" xfId="103" applyFont="1" applyFill="1" applyProtection="1">
      <alignment/>
      <protection/>
    </xf>
    <xf numFmtId="0" fontId="11" fillId="31" borderId="0" xfId="103" applyFont="1" applyFill="1" applyBorder="1" applyAlignment="1" applyProtection="1">
      <alignment/>
      <protection/>
    </xf>
    <xf numFmtId="0" fontId="11" fillId="31" borderId="0" xfId="103" applyFont="1" applyFill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31" borderId="0" xfId="103" applyFont="1" applyFill="1" applyBorder="1" applyAlignment="1" applyProtection="1">
      <alignment horizontal="left"/>
      <protection locked="0"/>
    </xf>
    <xf numFmtId="0" fontId="11" fillId="31" borderId="0" xfId="103" applyFont="1" applyFill="1" applyBorder="1" applyAlignment="1" applyProtection="1">
      <alignment/>
      <protection locked="0"/>
    </xf>
    <xf numFmtId="2" fontId="11" fillId="16" borderId="19" xfId="126" applyNumberFormat="1" applyFont="1" applyFill="1" applyBorder="1" applyAlignment="1" applyProtection="1">
      <alignment horizontal="right"/>
      <protection locked="0"/>
    </xf>
    <xf numFmtId="171" fontId="11" fillId="16" borderId="19" xfId="162" applyFont="1" applyFill="1" applyBorder="1" applyAlignment="1" applyProtection="1">
      <alignment horizontal="right"/>
      <protection locked="0"/>
    </xf>
    <xf numFmtId="0" fontId="11" fillId="31" borderId="0" xfId="103" applyFont="1" applyFill="1" applyBorder="1" applyAlignment="1" applyProtection="1">
      <alignment horizontal="center"/>
      <protection/>
    </xf>
    <xf numFmtId="0" fontId="64" fillId="33" borderId="35" xfId="103" applyFont="1" applyFill="1" applyBorder="1" applyAlignment="1" applyProtection="1">
      <alignment horizontal="center"/>
      <protection/>
    </xf>
    <xf numFmtId="0" fontId="64" fillId="33" borderId="36" xfId="103" applyFont="1" applyFill="1" applyBorder="1" applyAlignment="1" applyProtection="1">
      <alignment horizontal="center"/>
      <protection/>
    </xf>
    <xf numFmtId="0" fontId="11" fillId="31" borderId="21" xfId="103" applyFont="1" applyFill="1" applyBorder="1" applyAlignment="1" applyProtection="1">
      <alignment horizontal="center"/>
      <protection/>
    </xf>
    <xf numFmtId="187" fontId="11" fillId="16" borderId="21" xfId="126" applyNumberFormat="1" applyFont="1" applyFill="1" applyBorder="1" applyAlignment="1" applyProtection="1">
      <alignment horizontal="center"/>
      <protection locked="0"/>
    </xf>
    <xf numFmtId="187" fontId="11" fillId="31" borderId="21" xfId="103" applyNumberFormat="1" applyFont="1" applyFill="1" applyBorder="1" applyAlignment="1" applyProtection="1">
      <alignment horizontal="center"/>
      <protection/>
    </xf>
    <xf numFmtId="2" fontId="60" fillId="31" borderId="0" xfId="103" applyNumberFormat="1" applyFont="1" applyFill="1" applyProtection="1">
      <alignment/>
      <protection/>
    </xf>
    <xf numFmtId="0" fontId="11" fillId="31" borderId="19" xfId="103" applyFont="1" applyFill="1" applyBorder="1" applyAlignment="1" applyProtection="1">
      <alignment horizontal="center"/>
      <protection/>
    </xf>
    <xf numFmtId="0" fontId="11" fillId="31" borderId="23" xfId="103" applyFont="1" applyFill="1" applyBorder="1" applyAlignment="1" applyProtection="1">
      <alignment horizontal="left" indent="1"/>
      <protection/>
    </xf>
    <xf numFmtId="0" fontId="11" fillId="31" borderId="24" xfId="103" applyFont="1" applyFill="1" applyBorder="1" applyAlignment="1" applyProtection="1">
      <alignment horizontal="left" indent="1"/>
      <protection/>
    </xf>
    <xf numFmtId="0" fontId="11" fillId="31" borderId="34" xfId="103" applyFont="1" applyFill="1" applyBorder="1" applyAlignment="1" applyProtection="1">
      <alignment horizontal="left" indent="1"/>
      <protection/>
    </xf>
    <xf numFmtId="187" fontId="11" fillId="31" borderId="19" xfId="126" applyNumberFormat="1" applyFont="1" applyFill="1" applyBorder="1" applyAlignment="1" applyProtection="1">
      <alignment horizontal="center"/>
      <protection/>
    </xf>
    <xf numFmtId="0" fontId="11" fillId="31" borderId="34" xfId="103" applyFont="1" applyFill="1" applyBorder="1" applyProtection="1">
      <alignment/>
      <protection/>
    </xf>
    <xf numFmtId="0" fontId="11" fillId="31" borderId="32" xfId="103" applyFont="1" applyFill="1" applyBorder="1" applyAlignment="1" applyProtection="1">
      <alignment horizontal="left" indent="1"/>
      <protection/>
    </xf>
    <xf numFmtId="0" fontId="11" fillId="31" borderId="33" xfId="103" applyFont="1" applyFill="1" applyBorder="1" applyAlignment="1" applyProtection="1">
      <alignment horizontal="left" indent="1"/>
      <protection/>
    </xf>
    <xf numFmtId="0" fontId="11" fillId="31" borderId="33" xfId="103" applyFont="1" applyFill="1" applyBorder="1" applyProtection="1">
      <alignment/>
      <protection/>
    </xf>
    <xf numFmtId="2" fontId="11" fillId="31" borderId="0" xfId="103" applyNumberFormat="1" applyFont="1" applyFill="1" applyAlignment="1" applyProtection="1">
      <alignment horizontal="center"/>
      <protection/>
    </xf>
    <xf numFmtId="0" fontId="11" fillId="31" borderId="45" xfId="103" applyFont="1" applyFill="1" applyBorder="1" applyAlignment="1" applyProtection="1">
      <alignment horizontal="center" vertical="top"/>
      <protection/>
    </xf>
    <xf numFmtId="0" fontId="64" fillId="51" borderId="35" xfId="103" applyFont="1" applyFill="1" applyBorder="1" applyAlignment="1" applyProtection="1">
      <alignment horizontal="center"/>
      <protection/>
    </xf>
    <xf numFmtId="0" fontId="64" fillId="51" borderId="36" xfId="103" applyFont="1" applyFill="1" applyBorder="1" applyAlignment="1" applyProtection="1">
      <alignment horizontal="center"/>
      <protection/>
    </xf>
    <xf numFmtId="187" fontId="14" fillId="31" borderId="21" xfId="126" applyNumberFormat="1" applyFont="1" applyFill="1" applyBorder="1" applyAlignment="1" applyProtection="1">
      <alignment horizontal="center"/>
      <protection/>
    </xf>
    <xf numFmtId="187" fontId="14" fillId="31" borderId="19" xfId="126" applyNumberFormat="1" applyFont="1" applyFill="1" applyBorder="1" applyAlignment="1" applyProtection="1">
      <alignment horizontal="center"/>
      <protection/>
    </xf>
    <xf numFmtId="0" fontId="12" fillId="31" borderId="0" xfId="103" applyFont="1" applyFill="1" applyBorder="1" applyAlignment="1" applyProtection="1">
      <alignment horizontal="left" indent="2"/>
      <protection/>
    </xf>
    <xf numFmtId="187" fontId="14" fillId="31" borderId="0" xfId="126" applyNumberFormat="1" applyFont="1" applyFill="1" applyBorder="1" applyAlignment="1" applyProtection="1">
      <alignment horizontal="center"/>
      <protection/>
    </xf>
    <xf numFmtId="0" fontId="11" fillId="31" borderId="0" xfId="103" applyFont="1" applyFill="1" applyAlignment="1" applyProtection="1">
      <alignment horizontal="justify"/>
      <protection/>
    </xf>
    <xf numFmtId="0" fontId="11" fillId="52" borderId="0" xfId="103" applyFont="1" applyFill="1" applyBorder="1" applyAlignment="1" applyProtection="1">
      <alignment horizontal="justify"/>
      <protection/>
    </xf>
    <xf numFmtId="0" fontId="62" fillId="52" borderId="0" xfId="103" applyFont="1" applyFill="1" applyBorder="1" applyAlignment="1" applyProtection="1">
      <alignment/>
      <protection/>
    </xf>
    <xf numFmtId="0" fontId="11" fillId="31" borderId="37" xfId="103" applyFont="1" applyFill="1" applyBorder="1" applyProtection="1">
      <alignment/>
      <protection/>
    </xf>
    <xf numFmtId="0" fontId="11" fillId="31" borderId="38" xfId="103" applyFont="1" applyFill="1" applyBorder="1" applyProtection="1">
      <alignment/>
      <protection/>
    </xf>
    <xf numFmtId="0" fontId="11" fillId="52" borderId="0" xfId="103" applyFont="1" applyFill="1" applyBorder="1" applyAlignment="1" applyProtection="1">
      <alignment horizontal="center"/>
      <protection/>
    </xf>
    <xf numFmtId="0" fontId="11" fillId="52" borderId="0" xfId="103" applyFont="1" applyFill="1" applyBorder="1" applyProtection="1">
      <alignment/>
      <protection/>
    </xf>
    <xf numFmtId="0" fontId="12" fillId="52" borderId="0" xfId="103" applyFont="1" applyFill="1" applyBorder="1" applyAlignment="1" applyProtection="1">
      <alignment vertical="center" wrapText="1"/>
      <protection/>
    </xf>
    <xf numFmtId="0" fontId="64" fillId="52" borderId="0" xfId="103" applyFont="1" applyFill="1" applyBorder="1" applyAlignment="1" applyProtection="1">
      <alignment horizontal="center"/>
      <protection/>
    </xf>
    <xf numFmtId="0" fontId="11" fillId="31" borderId="39" xfId="103" applyFont="1" applyFill="1" applyBorder="1" applyAlignment="1" applyProtection="1">
      <alignment horizontal="center"/>
      <protection/>
    </xf>
    <xf numFmtId="187" fontId="11" fillId="16" borderId="29" xfId="126" applyNumberFormat="1" applyFont="1" applyFill="1" applyBorder="1" applyAlignment="1" applyProtection="1">
      <alignment horizontal="center"/>
      <protection/>
    </xf>
    <xf numFmtId="187" fontId="11" fillId="52" borderId="0" xfId="103" applyNumberFormat="1" applyFont="1" applyFill="1" applyBorder="1" applyAlignment="1" applyProtection="1">
      <alignment horizontal="center"/>
      <protection/>
    </xf>
    <xf numFmtId="0" fontId="11" fillId="31" borderId="40" xfId="103" applyFont="1" applyFill="1" applyBorder="1" applyAlignment="1" applyProtection="1">
      <alignment horizontal="center"/>
      <protection/>
    </xf>
    <xf numFmtId="187" fontId="11" fillId="31" borderId="29" xfId="126" applyNumberFormat="1" applyFont="1" applyFill="1" applyBorder="1" applyAlignment="1" applyProtection="1">
      <alignment horizontal="center"/>
      <protection/>
    </xf>
    <xf numFmtId="0" fontId="11" fillId="31" borderId="41" xfId="103" applyFont="1" applyFill="1" applyBorder="1" applyAlignment="1" applyProtection="1">
      <alignment horizontal="center"/>
      <protection/>
    </xf>
    <xf numFmtId="0" fontId="11" fillId="31" borderId="42" xfId="103" applyFont="1" applyFill="1" applyBorder="1" applyAlignment="1" applyProtection="1">
      <alignment horizontal="left" indent="1"/>
      <protection/>
    </xf>
    <xf numFmtId="0" fontId="11" fillId="31" borderId="43" xfId="103" applyFont="1" applyFill="1" applyBorder="1" applyAlignment="1" applyProtection="1">
      <alignment horizontal="left" indent="1"/>
      <protection/>
    </xf>
    <xf numFmtId="187" fontId="11" fillId="31" borderId="30" xfId="126" applyNumberFormat="1" applyFont="1" applyFill="1" applyBorder="1" applyAlignment="1" applyProtection="1">
      <alignment horizontal="center"/>
      <protection/>
    </xf>
    <xf numFmtId="0" fontId="11" fillId="31" borderId="44" xfId="103" applyFont="1" applyFill="1" applyBorder="1" applyProtection="1">
      <alignment/>
      <protection/>
    </xf>
    <xf numFmtId="187" fontId="14" fillId="31" borderId="30" xfId="126" applyNumberFormat="1" applyFont="1" applyFill="1" applyBorder="1" applyAlignment="1" applyProtection="1">
      <alignment horizontal="center"/>
      <protection/>
    </xf>
    <xf numFmtId="0" fontId="65" fillId="31" borderId="0" xfId="103" applyFont="1" applyFill="1" applyProtection="1">
      <alignment/>
      <protection/>
    </xf>
    <xf numFmtId="0" fontId="60" fillId="31" borderId="0" xfId="103" applyFont="1" applyFill="1">
      <alignment/>
      <protection/>
    </xf>
    <xf numFmtId="0" fontId="11" fillId="31" borderId="0" xfId="103" applyFont="1" applyFill="1">
      <alignment/>
      <protection/>
    </xf>
    <xf numFmtId="4" fontId="10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13" fillId="0" borderId="0" xfId="111" applyFont="1" applyAlignment="1">
      <alignment horizontal="center" vertical="center"/>
      <protection/>
    </xf>
    <xf numFmtId="0" fontId="116" fillId="0" borderId="19" xfId="114" applyFont="1" applyBorder="1" applyAlignment="1">
      <alignment horizontal="center" vertical="center"/>
      <protection/>
    </xf>
    <xf numFmtId="4" fontId="8" fillId="0" borderId="25" xfId="0" applyNumberFormat="1" applyFont="1" applyBorder="1" applyAlignment="1">
      <alignment horizontal="center" vertical="center"/>
    </xf>
    <xf numFmtId="180" fontId="113" fillId="0" borderId="0" xfId="111" applyNumberFormat="1" applyFont="1" applyAlignment="1">
      <alignment horizontal="center" vertical="center"/>
      <protection/>
    </xf>
    <xf numFmtId="174" fontId="113" fillId="0" borderId="20" xfId="111" applyNumberFormat="1" applyFont="1" applyBorder="1" applyAlignment="1">
      <alignment horizontal="center" vertical="center"/>
      <protection/>
    </xf>
    <xf numFmtId="2" fontId="59" fillId="0" borderId="0" xfId="0" applyNumberFormat="1" applyFont="1" applyAlignment="1">
      <alignment horizontal="center" vertical="center"/>
    </xf>
    <xf numFmtId="0" fontId="89" fillId="0" borderId="0" xfId="114">
      <alignment/>
      <protection/>
    </xf>
    <xf numFmtId="0" fontId="117" fillId="0" borderId="0" xfId="114" applyFont="1" applyAlignment="1">
      <alignment vertical="center"/>
      <protection/>
    </xf>
    <xf numFmtId="0" fontId="105" fillId="0" borderId="0" xfId="114" applyFont="1" applyAlignment="1">
      <alignment horizontal="center" vertical="center" wrapText="1"/>
      <protection/>
    </xf>
    <xf numFmtId="0" fontId="118" fillId="0" borderId="20" xfId="114" applyFont="1" applyBorder="1" applyAlignment="1">
      <alignment horizontal="center" vertical="center"/>
      <protection/>
    </xf>
    <xf numFmtId="0" fontId="118" fillId="0" borderId="20" xfId="114" applyFont="1" applyBorder="1" applyAlignment="1">
      <alignment horizontal="center" vertical="center" wrapText="1"/>
      <protection/>
    </xf>
    <xf numFmtId="0" fontId="105" fillId="0" borderId="19" xfId="114" applyFont="1" applyBorder="1" applyAlignment="1">
      <alignment vertical="center"/>
      <protection/>
    </xf>
    <xf numFmtId="0" fontId="105" fillId="0" borderId="0" xfId="114" applyFont="1" applyAlignment="1">
      <alignment horizontal="center" vertical="center"/>
      <protection/>
    </xf>
    <xf numFmtId="0" fontId="89" fillId="0" borderId="0" xfId="114" applyAlignment="1">
      <alignment horizontal="center" vertical="center"/>
      <protection/>
    </xf>
    <xf numFmtId="0" fontId="89" fillId="0" borderId="21" xfId="114" applyBorder="1" applyAlignment="1">
      <alignment horizontal="center" vertical="center"/>
      <protection/>
    </xf>
    <xf numFmtId="0" fontId="105" fillId="0" borderId="21" xfId="114" applyFont="1" applyBorder="1" applyAlignment="1">
      <alignment horizontal="center" vertical="center"/>
      <protection/>
    </xf>
    <xf numFmtId="0" fontId="105" fillId="0" borderId="21" xfId="114" applyFont="1" applyBorder="1" applyAlignment="1">
      <alignment horizontal="center" vertical="center" wrapText="1"/>
      <protection/>
    </xf>
    <xf numFmtId="0" fontId="89" fillId="0" borderId="19" xfId="114" applyBorder="1" applyAlignment="1">
      <alignment horizontal="center" vertical="center"/>
      <protection/>
    </xf>
    <xf numFmtId="0" fontId="105" fillId="0" borderId="0" xfId="114" applyFont="1">
      <alignment/>
      <protection/>
    </xf>
    <xf numFmtId="0" fontId="89" fillId="0" borderId="0" xfId="114" applyAlignment="1">
      <alignment vertical="center"/>
      <protection/>
    </xf>
    <xf numFmtId="0" fontId="89" fillId="0" borderId="0" xfId="114" applyAlignment="1">
      <alignment horizontal="left"/>
      <protection/>
    </xf>
    <xf numFmtId="0" fontId="105" fillId="0" borderId="19" xfId="114" applyFont="1" applyBorder="1" applyAlignment="1">
      <alignment horizontal="center" vertical="center"/>
      <protection/>
    </xf>
    <xf numFmtId="181" fontId="89" fillId="0" borderId="19" xfId="114" applyNumberFormat="1" applyBorder="1" applyAlignment="1">
      <alignment horizontal="center" vertical="center"/>
      <protection/>
    </xf>
    <xf numFmtId="182" fontId="89" fillId="0" borderId="19" xfId="114" applyNumberFormat="1" applyBorder="1" applyAlignment="1">
      <alignment horizontal="center" vertical="center"/>
      <protection/>
    </xf>
    <xf numFmtId="181" fontId="89" fillId="0" borderId="0" xfId="114" applyNumberFormat="1" applyAlignment="1">
      <alignment horizontal="center" vertical="center"/>
      <protection/>
    </xf>
    <xf numFmtId="0" fontId="8" fillId="52" borderId="25" xfId="0" applyFont="1" applyFill="1" applyBorder="1" applyAlignment="1">
      <alignment horizontal="center" vertical="center"/>
    </xf>
    <xf numFmtId="0" fontId="8" fillId="52" borderId="25" xfId="0" applyFont="1" applyFill="1" applyBorder="1" applyAlignment="1">
      <alignment vertical="center" wrapText="1"/>
    </xf>
    <xf numFmtId="4" fontId="8" fillId="52" borderId="25" xfId="161" applyNumberFormat="1" applyFont="1" applyFill="1" applyBorder="1" applyAlignment="1">
      <alignment horizontal="right" vertical="center"/>
    </xf>
    <xf numFmtId="4" fontId="8" fillId="52" borderId="25" xfId="0" applyNumberFormat="1" applyFont="1" applyFill="1" applyBorder="1" applyAlignment="1">
      <alignment horizontal="center" vertical="center"/>
    </xf>
    <xf numFmtId="4" fontId="8" fillId="52" borderId="25" xfId="0" applyNumberFormat="1" applyFont="1" applyFill="1" applyBorder="1" applyAlignment="1">
      <alignment horizontal="right" vertical="center"/>
    </xf>
    <xf numFmtId="4" fontId="8" fillId="52" borderId="25" xfId="0" applyNumberFormat="1" applyFont="1" applyFill="1" applyBorder="1" applyAlignment="1">
      <alignment vertical="center" wrapText="1"/>
    </xf>
    <xf numFmtId="4" fontId="8" fillId="0" borderId="25" xfId="161" applyNumberFormat="1" applyFont="1" applyBorder="1" applyAlignment="1">
      <alignment horizontal="right" vertical="center"/>
    </xf>
    <xf numFmtId="0" fontId="89" fillId="0" borderId="19" xfId="114" applyBorder="1" applyAlignment="1">
      <alignment vertical="center"/>
      <protection/>
    </xf>
    <xf numFmtId="0" fontId="89" fillId="0" borderId="19" xfId="114" applyBorder="1" applyAlignment="1">
      <alignment horizontal="left"/>
      <protection/>
    </xf>
    <xf numFmtId="0" fontId="89" fillId="0" borderId="19" xfId="114" applyBorder="1">
      <alignment/>
      <protection/>
    </xf>
    <xf numFmtId="0" fontId="0" fillId="0" borderId="0" xfId="0" applyBorder="1" applyAlignment="1">
      <alignment/>
    </xf>
    <xf numFmtId="0" fontId="105" fillId="0" borderId="0" xfId="114" applyFont="1" applyBorder="1" applyAlignment="1">
      <alignment horizontal="center" vertical="center"/>
      <protection/>
    </xf>
    <xf numFmtId="186" fontId="89" fillId="0" borderId="19" xfId="114" applyNumberFormat="1" applyBorder="1" applyAlignment="1">
      <alignment horizontal="center" vertical="center"/>
      <protection/>
    </xf>
    <xf numFmtId="188" fontId="89" fillId="0" borderId="19" xfId="114" applyNumberFormat="1" applyBorder="1" applyAlignment="1">
      <alignment horizontal="center" vertical="center"/>
      <protection/>
    </xf>
    <xf numFmtId="181" fontId="89" fillId="0" borderId="19" xfId="114" applyNumberFormat="1" applyFont="1" applyBorder="1" applyAlignment="1">
      <alignment horizontal="center" vertical="center"/>
      <protection/>
    </xf>
    <xf numFmtId="188" fontId="89" fillId="0" borderId="19" xfId="114" applyNumberFormat="1" applyFont="1" applyBorder="1" applyAlignment="1">
      <alignment horizontal="center" vertical="center"/>
      <protection/>
    </xf>
    <xf numFmtId="0" fontId="89" fillId="0" borderId="19" xfId="114" applyFont="1" applyBorder="1" applyAlignment="1">
      <alignment horizontal="center" vertical="center"/>
      <protection/>
    </xf>
    <xf numFmtId="182" fontId="89" fillId="0" borderId="19" xfId="114" applyNumberFormat="1" applyFont="1" applyBorder="1" applyAlignment="1">
      <alignment horizontal="center" vertical="center"/>
      <protection/>
    </xf>
    <xf numFmtId="0" fontId="68" fillId="0" borderId="19" xfId="0" applyFont="1" applyBorder="1" applyAlignment="1">
      <alignment horizontal="center" vertical="center"/>
    </xf>
    <xf numFmtId="0" fontId="89" fillId="0" borderId="0" xfId="114" applyBorder="1" applyAlignment="1">
      <alignment horizontal="center" vertical="center"/>
      <protection/>
    </xf>
    <xf numFmtId="0" fontId="116" fillId="0" borderId="19" xfId="114" applyNumberFormat="1" applyFont="1" applyBorder="1" applyAlignment="1">
      <alignment horizontal="center" vertical="center"/>
      <protection/>
    </xf>
    <xf numFmtId="177" fontId="116" fillId="0" borderId="22" xfId="114" applyNumberFormat="1" applyFont="1" applyBorder="1" applyAlignment="1">
      <alignment vertical="center"/>
      <protection/>
    </xf>
    <xf numFmtId="177" fontId="116" fillId="0" borderId="46" xfId="114" applyNumberFormat="1" applyFont="1" applyBorder="1" applyAlignment="1">
      <alignment vertical="center"/>
      <protection/>
    </xf>
    <xf numFmtId="0" fontId="89" fillId="0" borderId="40" xfId="114" applyBorder="1" applyAlignment="1">
      <alignment horizontal="center" vertical="center"/>
      <protection/>
    </xf>
    <xf numFmtId="0" fontId="89" fillId="0" borderId="47" xfId="114" applyBorder="1" applyAlignment="1">
      <alignment horizontal="center" vertical="center"/>
      <protection/>
    </xf>
    <xf numFmtId="181" fontId="89" fillId="0" borderId="0" xfId="114" applyNumberFormat="1" applyBorder="1" applyAlignment="1">
      <alignment horizontal="center" vertical="center"/>
      <protection/>
    </xf>
    <xf numFmtId="2" fontId="89" fillId="0" borderId="0" xfId="114" applyNumberFormat="1" applyBorder="1" applyAlignment="1">
      <alignment horizontal="center" vertical="center"/>
      <protection/>
    </xf>
    <xf numFmtId="180" fontId="89" fillId="0" borderId="19" xfId="114" applyNumberFormat="1" applyBorder="1" applyAlignment="1">
      <alignment horizontal="center" vertical="center"/>
      <protection/>
    </xf>
    <xf numFmtId="0" fontId="116" fillId="0" borderId="24" xfId="114" applyFont="1" applyBorder="1" applyAlignment="1">
      <alignment vertical="center"/>
      <protection/>
    </xf>
    <xf numFmtId="0" fontId="119" fillId="0" borderId="19" xfId="114" applyFont="1" applyBorder="1" applyAlignment="1">
      <alignment horizontal="center" vertical="center"/>
      <protection/>
    </xf>
    <xf numFmtId="2" fontId="113" fillId="0" borderId="0" xfId="114" applyNumberFormat="1" applyFont="1">
      <alignment/>
      <protection/>
    </xf>
    <xf numFmtId="0" fontId="116" fillId="0" borderId="41" xfId="114" applyFont="1" applyBorder="1" applyAlignment="1">
      <alignment horizontal="center" vertical="center"/>
      <protection/>
    </xf>
    <xf numFmtId="0" fontId="116" fillId="0" borderId="48" xfId="114" applyFont="1" applyBorder="1" applyAlignment="1">
      <alignment horizontal="center" vertical="center"/>
      <protection/>
    </xf>
    <xf numFmtId="180" fontId="113" fillId="0" borderId="40" xfId="114" applyNumberFormat="1" applyFont="1" applyBorder="1" applyAlignment="1">
      <alignment horizontal="center" vertical="center"/>
      <protection/>
    </xf>
    <xf numFmtId="180" fontId="113" fillId="0" borderId="21" xfId="114" applyNumberFormat="1" applyFont="1" applyBorder="1" applyAlignment="1">
      <alignment horizontal="center" vertical="center"/>
      <protection/>
    </xf>
    <xf numFmtId="0" fontId="113" fillId="0" borderId="21" xfId="114" applyFont="1" applyBorder="1" applyAlignment="1">
      <alignment horizontal="center" vertical="center"/>
      <protection/>
    </xf>
    <xf numFmtId="0" fontId="113" fillId="0" borderId="29" xfId="114" applyFont="1" applyBorder="1" applyAlignment="1">
      <alignment horizontal="center" vertical="center"/>
      <protection/>
    </xf>
    <xf numFmtId="180" fontId="113" fillId="0" borderId="19" xfId="114" applyNumberFormat="1" applyFont="1" applyBorder="1" applyAlignment="1">
      <alignment horizontal="center" vertical="center"/>
      <protection/>
    </xf>
    <xf numFmtId="181" fontId="112" fillId="0" borderId="49" xfId="114" applyNumberFormat="1" applyFont="1" applyBorder="1" applyAlignment="1">
      <alignment vertical="center"/>
      <protection/>
    </xf>
    <xf numFmtId="181" fontId="112" fillId="0" borderId="50" xfId="114" applyNumberFormat="1" applyFont="1" applyBorder="1" applyAlignment="1">
      <alignment vertical="center"/>
      <protection/>
    </xf>
    <xf numFmtId="181" fontId="112" fillId="0" borderId="43" xfId="114" applyNumberFormat="1" applyFont="1" applyBorder="1" applyAlignment="1">
      <alignment vertical="center"/>
      <protection/>
    </xf>
    <xf numFmtId="2" fontId="112" fillId="0" borderId="51" xfId="114" applyNumberFormat="1" applyFont="1" applyBorder="1" applyAlignment="1">
      <alignment horizontal="center" vertical="center"/>
      <protection/>
    </xf>
    <xf numFmtId="177" fontId="116" fillId="0" borderId="52" xfId="114" applyNumberFormat="1" applyFont="1" applyBorder="1" applyAlignment="1">
      <alignment vertical="center"/>
      <protection/>
    </xf>
    <xf numFmtId="177" fontId="116" fillId="0" borderId="53" xfId="114" applyNumberFormat="1" applyFont="1" applyBorder="1" applyAlignment="1">
      <alignment vertical="center"/>
      <protection/>
    </xf>
    <xf numFmtId="177" fontId="116" fillId="0" borderId="54" xfId="114" applyNumberFormat="1" applyFont="1" applyBorder="1" applyAlignment="1">
      <alignment vertical="center"/>
      <protection/>
    </xf>
    <xf numFmtId="177" fontId="116" fillId="0" borderId="55" xfId="114" applyNumberFormat="1" applyFont="1" applyBorder="1" applyAlignment="1">
      <alignment vertical="center"/>
      <protection/>
    </xf>
    <xf numFmtId="0" fontId="116" fillId="0" borderId="56" xfId="114" applyFont="1" applyBorder="1" applyAlignment="1">
      <alignment vertical="center"/>
      <protection/>
    </xf>
    <xf numFmtId="0" fontId="116" fillId="0" borderId="47" xfId="114" applyFont="1" applyBorder="1" applyAlignment="1">
      <alignment horizontal="center" vertical="center"/>
      <protection/>
    </xf>
    <xf numFmtId="0" fontId="116" fillId="0" borderId="40" xfId="114" applyFont="1" applyBorder="1" applyAlignment="1">
      <alignment horizontal="center" vertical="center"/>
      <protection/>
    </xf>
    <xf numFmtId="2" fontId="116" fillId="0" borderId="47" xfId="114" applyNumberFormat="1" applyFont="1" applyBorder="1" applyAlignment="1">
      <alignment horizontal="center" vertical="center"/>
      <protection/>
    </xf>
    <xf numFmtId="0" fontId="116" fillId="0" borderId="51" xfId="114" applyFont="1" applyBorder="1" applyAlignment="1">
      <alignment horizontal="center" vertical="center"/>
      <protection/>
    </xf>
    <xf numFmtId="0" fontId="119" fillId="0" borderId="40" xfId="114" applyFont="1" applyBorder="1" applyAlignment="1">
      <alignment horizontal="center" vertical="center"/>
      <protection/>
    </xf>
    <xf numFmtId="0" fontId="119" fillId="0" borderId="19" xfId="114" applyFont="1" applyBorder="1" applyAlignment="1">
      <alignment vertical="center"/>
      <protection/>
    </xf>
    <xf numFmtId="0" fontId="119" fillId="0" borderId="47" xfId="114" applyFont="1" applyBorder="1" applyAlignment="1">
      <alignment vertical="center"/>
      <protection/>
    </xf>
    <xf numFmtId="0" fontId="119" fillId="0" borderId="47" xfId="114" applyFont="1" applyBorder="1" applyAlignment="1">
      <alignment horizontal="center" vertical="center"/>
      <protection/>
    </xf>
    <xf numFmtId="0" fontId="105" fillId="0" borderId="51" xfId="114" applyFont="1" applyBorder="1" applyAlignment="1">
      <alignment horizontal="center" vertical="center"/>
      <protection/>
    </xf>
    <xf numFmtId="188" fontId="116" fillId="0" borderId="34" xfId="114" applyNumberFormat="1" applyFont="1" applyBorder="1" applyAlignment="1">
      <alignment horizontal="center" vertical="center"/>
      <protection/>
    </xf>
    <xf numFmtId="188" fontId="116" fillId="0" borderId="19" xfId="114" applyNumberFormat="1" applyFont="1" applyBorder="1" applyAlignment="1">
      <alignment horizontal="center" vertical="center"/>
      <protection/>
    </xf>
    <xf numFmtId="0" fontId="8" fillId="52" borderId="25" xfId="0" applyFont="1" applyFill="1" applyBorder="1" applyAlignment="1">
      <alignment horizontal="left" vertical="center"/>
    </xf>
    <xf numFmtId="182" fontId="0" fillId="0" borderId="0" xfId="0" applyNumberFormat="1" applyAlignment="1">
      <alignment/>
    </xf>
    <xf numFmtId="0" fontId="105" fillId="0" borderId="19" xfId="114" applyFont="1" applyBorder="1" applyAlignment="1">
      <alignment horizontal="center" vertical="center"/>
      <protection/>
    </xf>
    <xf numFmtId="0" fontId="116" fillId="0" borderId="19" xfId="114" applyFont="1" applyBorder="1" applyAlignment="1">
      <alignment horizontal="center" vertical="center"/>
      <protection/>
    </xf>
    <xf numFmtId="4" fontId="112" fillId="0" borderId="19" xfId="164" applyNumberFormat="1" applyFont="1" applyBorder="1" applyAlignment="1">
      <alignment horizontal="center" vertical="center"/>
    </xf>
    <xf numFmtId="0" fontId="114" fillId="0" borderId="40" xfId="114" applyFont="1" applyBorder="1" applyAlignment="1">
      <alignment horizontal="center" vertical="center"/>
      <protection/>
    </xf>
    <xf numFmtId="0" fontId="114" fillId="0" borderId="47" xfId="114" applyFont="1" applyBorder="1" applyAlignment="1">
      <alignment vertical="center"/>
      <protection/>
    </xf>
    <xf numFmtId="0" fontId="114" fillId="0" borderId="40" xfId="114" applyFont="1" applyBorder="1" applyAlignment="1">
      <alignment vertical="center"/>
      <protection/>
    </xf>
    <xf numFmtId="0" fontId="113" fillId="0" borderId="40" xfId="114" applyFont="1" applyBorder="1">
      <alignment/>
      <protection/>
    </xf>
    <xf numFmtId="201" fontId="7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left" vertical="center"/>
    </xf>
    <xf numFmtId="175" fontId="7" fillId="0" borderId="0" xfId="161" applyNumberFormat="1" applyFont="1" applyFill="1" applyBorder="1" applyAlignment="1">
      <alignment horizontal="left" vertical="center"/>
    </xf>
    <xf numFmtId="184" fontId="7" fillId="0" borderId="0" xfId="0" applyNumberFormat="1" applyFont="1" applyBorder="1" applyAlignment="1">
      <alignment horizontal="left" vertical="center"/>
    </xf>
    <xf numFmtId="195" fontId="7" fillId="0" borderId="0" xfId="0" applyNumberFormat="1" applyFont="1" applyFill="1" applyBorder="1" applyAlignment="1">
      <alignment horizontal="left" vertical="center"/>
    </xf>
    <xf numFmtId="0" fontId="105" fillId="0" borderId="19" xfId="114" applyFont="1" applyBorder="1" applyAlignment="1">
      <alignment horizontal="center" vertical="center" wrapText="1"/>
      <protection/>
    </xf>
    <xf numFmtId="0" fontId="89" fillId="0" borderId="0" xfId="114" applyBorder="1">
      <alignment/>
      <protection/>
    </xf>
    <xf numFmtId="2" fontId="89" fillId="0" borderId="0" xfId="114" applyNumberFormat="1" applyBorder="1" applyAlignment="1">
      <alignment vertical="center"/>
      <protection/>
    </xf>
    <xf numFmtId="182" fontId="89" fillId="0" borderId="0" xfId="114" applyNumberFormat="1" applyBorder="1" applyAlignment="1">
      <alignment horizontal="center" vertical="center"/>
      <protection/>
    </xf>
    <xf numFmtId="10" fontId="8" fillId="52" borderId="0" xfId="125" applyNumberFormat="1" applyFont="1" applyFill="1" applyAlignment="1">
      <alignment horizontal="center" vertical="center"/>
    </xf>
    <xf numFmtId="0" fontId="10" fillId="52" borderId="0" xfId="0" applyFont="1" applyFill="1" applyAlignment="1">
      <alignment horizontal="center" vertical="center"/>
    </xf>
    <xf numFmtId="10" fontId="8" fillId="52" borderId="0" xfId="0" applyNumberFormat="1" applyFont="1" applyFill="1" applyAlignment="1">
      <alignment vertical="center"/>
    </xf>
    <xf numFmtId="4" fontId="8" fillId="52" borderId="23" xfId="0" applyNumberFormat="1" applyFont="1" applyFill="1" applyBorder="1" applyAlignment="1">
      <alignment vertical="center"/>
    </xf>
    <xf numFmtId="202" fontId="8" fillId="0" borderId="0" xfId="0" applyNumberFormat="1" applyFont="1" applyBorder="1" applyAlignment="1">
      <alignment horizontal="center" vertical="center"/>
    </xf>
    <xf numFmtId="9" fontId="113" fillId="0" borderId="0" xfId="125" applyFont="1" applyAlignment="1">
      <alignment horizontal="center" vertical="center"/>
    </xf>
    <xf numFmtId="0" fontId="12" fillId="0" borderId="21" xfId="122" applyFont="1" applyBorder="1" applyAlignment="1">
      <alignment horizontal="center" vertical="center"/>
      <protection/>
    </xf>
    <xf numFmtId="2" fontId="14" fillId="0" borderId="0" xfId="0" applyNumberFormat="1" applyFont="1" applyBorder="1" applyAlignment="1">
      <alignment vertical="center"/>
    </xf>
    <xf numFmtId="4" fontId="12" fillId="0" borderId="21" xfId="122" applyNumberFormat="1" applyFont="1" applyBorder="1" applyAlignment="1">
      <alignment horizontal="right" vertical="center"/>
      <protection/>
    </xf>
    <xf numFmtId="0" fontId="14" fillId="0" borderId="0" xfId="122" applyFont="1" applyBorder="1" applyAlignment="1">
      <alignment vertical="center"/>
      <protection/>
    </xf>
    <xf numFmtId="0" fontId="11" fillId="0" borderId="0" xfId="122" applyFont="1" applyBorder="1" applyAlignment="1">
      <alignment vertical="center"/>
      <protection/>
    </xf>
    <xf numFmtId="174" fontId="12" fillId="0" borderId="0" xfId="122" applyNumberFormat="1" applyFont="1" applyBorder="1" applyAlignment="1">
      <alignment vertical="center"/>
      <protection/>
    </xf>
    <xf numFmtId="0" fontId="12" fillId="0" borderId="0" xfId="122" applyFont="1" applyBorder="1" applyAlignment="1">
      <alignment horizontal="right" vertical="center"/>
      <protection/>
    </xf>
    <xf numFmtId="10" fontId="14" fillId="0" borderId="0" xfId="125" applyNumberFormat="1" applyFont="1" applyBorder="1" applyAlignment="1">
      <alignment vertical="center"/>
    </xf>
    <xf numFmtId="4" fontId="13" fillId="31" borderId="22" xfId="137" applyNumberFormat="1" applyFont="1" applyFill="1" applyBorder="1" applyAlignment="1">
      <alignment vertical="center"/>
    </xf>
    <xf numFmtId="0" fontId="12" fillId="0" borderId="0" xfId="122" applyFont="1" applyBorder="1" applyAlignment="1">
      <alignment vertical="center"/>
      <protection/>
    </xf>
    <xf numFmtId="0" fontId="13" fillId="31" borderId="28" xfId="0" applyFont="1" applyFill="1" applyBorder="1" applyAlignment="1">
      <alignment vertical="center"/>
    </xf>
    <xf numFmtId="0" fontId="13" fillId="31" borderId="22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4" fontId="13" fillId="31" borderId="31" xfId="137" applyNumberFormat="1" applyFont="1" applyFill="1" applyBorder="1" applyAlignment="1">
      <alignment vertical="center"/>
    </xf>
    <xf numFmtId="0" fontId="16" fillId="31" borderId="27" xfId="0" applyFont="1" applyFill="1" applyBorder="1" applyAlignment="1">
      <alignment vertical="center"/>
    </xf>
    <xf numFmtId="4" fontId="13" fillId="31" borderId="26" xfId="137" applyNumberFormat="1" applyFont="1" applyFill="1" applyBorder="1" applyAlignment="1">
      <alignment vertical="center"/>
    </xf>
    <xf numFmtId="0" fontId="14" fillId="0" borderId="27" xfId="0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97" fontId="7" fillId="0" borderId="0" xfId="0" applyNumberFormat="1" applyFont="1" applyBorder="1" applyAlignment="1">
      <alignment horizontal="left" vertical="center"/>
    </xf>
    <xf numFmtId="4" fontId="7" fillId="0" borderId="19" xfId="161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left" vertical="center"/>
    </xf>
    <xf numFmtId="185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" fontId="7" fillId="0" borderId="20" xfId="161" applyNumberFormat="1" applyFont="1" applyFill="1" applyBorder="1" applyAlignment="1">
      <alignment horizontal="center" vertical="center"/>
    </xf>
    <xf numFmtId="4" fontId="7" fillId="0" borderId="21" xfId="161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184" fontId="7" fillId="0" borderId="19" xfId="0" applyNumberFormat="1" applyFont="1" applyFill="1" applyBorder="1" applyAlignment="1">
      <alignment horizontal="center" vertical="center"/>
    </xf>
    <xf numFmtId="174" fontId="12" fillId="0" borderId="23" xfId="122" applyNumberFormat="1" applyFont="1" applyBorder="1" applyAlignment="1">
      <alignment horizontal="center" vertical="center"/>
      <protection/>
    </xf>
    <xf numFmtId="174" fontId="12" fillId="0" borderId="24" xfId="122" applyNumberFormat="1" applyFont="1" applyBorder="1" applyAlignment="1">
      <alignment horizontal="center" vertical="center"/>
      <protection/>
    </xf>
    <xf numFmtId="174" fontId="12" fillId="0" borderId="34" xfId="122" applyNumberFormat="1" applyFont="1" applyBorder="1" applyAlignment="1">
      <alignment horizontal="center" vertical="center"/>
      <protection/>
    </xf>
    <xf numFmtId="4" fontId="13" fillId="31" borderId="23" xfId="137" applyNumberFormat="1" applyFont="1" applyFill="1" applyBorder="1" applyAlignment="1">
      <alignment horizontal="center" vertical="center"/>
    </xf>
    <xf numFmtId="4" fontId="13" fillId="31" borderId="24" xfId="137" applyNumberFormat="1" applyFont="1" applyFill="1" applyBorder="1" applyAlignment="1">
      <alignment horizontal="center" vertical="center"/>
    </xf>
    <xf numFmtId="4" fontId="13" fillId="31" borderId="34" xfId="137" applyNumberFormat="1" applyFont="1" applyFill="1" applyBorder="1" applyAlignment="1">
      <alignment horizontal="center" vertical="center"/>
    </xf>
    <xf numFmtId="0" fontId="13" fillId="0" borderId="28" xfId="122" applyFont="1" applyBorder="1" applyAlignment="1">
      <alignment horizontal="center" vertical="center"/>
      <protection/>
    </xf>
    <xf numFmtId="0" fontId="13" fillId="0" borderId="31" xfId="122" applyFont="1" applyBorder="1" applyAlignment="1">
      <alignment horizontal="center" vertical="center"/>
      <protection/>
    </xf>
    <xf numFmtId="0" fontId="13" fillId="0" borderId="32" xfId="122" applyFont="1" applyBorder="1" applyAlignment="1">
      <alignment horizontal="center" vertical="center"/>
      <protection/>
    </xf>
    <xf numFmtId="0" fontId="13" fillId="0" borderId="33" xfId="122" applyFont="1" applyBorder="1" applyAlignment="1">
      <alignment horizontal="center" vertical="center"/>
      <protection/>
    </xf>
    <xf numFmtId="0" fontId="13" fillId="0" borderId="23" xfId="122" applyFont="1" applyBorder="1" applyAlignment="1">
      <alignment horizontal="center" vertical="center"/>
      <protection/>
    </xf>
    <xf numFmtId="0" fontId="13" fillId="0" borderId="34" xfId="122" applyFont="1" applyBorder="1" applyAlignment="1">
      <alignment horizontal="center" vertical="center"/>
      <protection/>
    </xf>
    <xf numFmtId="0" fontId="13" fillId="0" borderId="19" xfId="122" applyFont="1" applyBorder="1" applyAlignment="1">
      <alignment horizontal="center" vertical="center"/>
      <protection/>
    </xf>
    <xf numFmtId="4" fontId="13" fillId="0" borderId="19" xfId="122" applyNumberFormat="1" applyFont="1" applyBorder="1" applyAlignment="1">
      <alignment horizontal="center" vertical="center"/>
      <protection/>
    </xf>
    <xf numFmtId="0" fontId="12" fillId="0" borderId="21" xfId="122" applyFont="1" applyBorder="1" applyAlignment="1">
      <alignment horizontal="center" vertical="center"/>
      <protection/>
    </xf>
    <xf numFmtId="0" fontId="12" fillId="0" borderId="19" xfId="122" applyFont="1" applyBorder="1" applyAlignment="1">
      <alignment horizontal="center" vertical="center"/>
      <protection/>
    </xf>
    <xf numFmtId="0" fontId="10" fillId="52" borderId="19" xfId="0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52" borderId="1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9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34" xfId="0" applyNumberFormat="1" applyFont="1" applyFill="1" applyBorder="1" applyAlignment="1">
      <alignment horizontal="center" vertical="center"/>
    </xf>
    <xf numFmtId="4" fontId="10" fillId="52" borderId="19" xfId="0" applyNumberFormat="1" applyFont="1" applyFill="1" applyBorder="1" applyAlignment="1">
      <alignment horizontal="center" vertical="center"/>
    </xf>
    <xf numFmtId="179" fontId="10" fillId="52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10" fillId="0" borderId="46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4" fontId="10" fillId="0" borderId="20" xfId="161" applyNumberFormat="1" applyFont="1" applyFill="1" applyBorder="1" applyAlignment="1">
      <alignment horizontal="center" vertical="center"/>
    </xf>
    <xf numFmtId="4" fontId="10" fillId="0" borderId="21" xfId="161" applyNumberFormat="1" applyFont="1" applyFill="1" applyBorder="1" applyAlignment="1">
      <alignment horizontal="center" vertical="center"/>
    </xf>
    <xf numFmtId="179" fontId="10" fillId="0" borderId="20" xfId="0" applyNumberFormat="1" applyFont="1" applyFill="1" applyBorder="1" applyAlignment="1">
      <alignment horizontal="center" vertical="center"/>
    </xf>
    <xf numFmtId="179" fontId="10" fillId="0" borderId="21" xfId="0" applyNumberFormat="1" applyFont="1" applyFill="1" applyBorder="1" applyAlignment="1">
      <alignment horizontal="center" vertical="center"/>
    </xf>
    <xf numFmtId="0" fontId="113" fillId="0" borderId="0" xfId="111" applyFont="1" applyAlignment="1">
      <alignment horizontal="center" vertical="center"/>
      <protection/>
    </xf>
    <xf numFmtId="181" fontId="112" fillId="0" borderId="23" xfId="111" applyNumberFormat="1" applyFont="1" applyBorder="1" applyAlignment="1">
      <alignment horizontal="center" vertical="center"/>
      <protection/>
    </xf>
    <xf numFmtId="181" fontId="112" fillId="0" borderId="24" xfId="111" applyNumberFormat="1" applyFont="1" applyBorder="1" applyAlignment="1">
      <alignment horizontal="center" vertical="center"/>
      <protection/>
    </xf>
    <xf numFmtId="181" fontId="112" fillId="0" borderId="34" xfId="111" applyNumberFormat="1" applyFont="1" applyBorder="1" applyAlignment="1">
      <alignment horizontal="center" vertical="center"/>
      <protection/>
    </xf>
    <xf numFmtId="181" fontId="112" fillId="0" borderId="19" xfId="111" applyNumberFormat="1" applyFont="1" applyBorder="1" applyAlignment="1">
      <alignment horizontal="center" vertical="center"/>
      <protection/>
    </xf>
    <xf numFmtId="174" fontId="112" fillId="0" borderId="19" xfId="111" applyNumberFormat="1" applyFont="1" applyBorder="1" applyAlignment="1">
      <alignment horizontal="center" vertical="center"/>
      <protection/>
    </xf>
    <xf numFmtId="0" fontId="118" fillId="0" borderId="19" xfId="114" applyFont="1" applyBorder="1" applyAlignment="1">
      <alignment horizontal="center" vertical="center"/>
      <protection/>
    </xf>
    <xf numFmtId="0" fontId="118" fillId="0" borderId="19" xfId="114" applyFont="1" applyBorder="1" applyAlignment="1">
      <alignment horizontal="center" vertical="center" wrapText="1"/>
      <protection/>
    </xf>
    <xf numFmtId="0" fontId="118" fillId="0" borderId="20" xfId="114" applyFont="1" applyBorder="1" applyAlignment="1">
      <alignment horizontal="center" vertical="center" wrapText="1"/>
      <protection/>
    </xf>
    <xf numFmtId="0" fontId="118" fillId="0" borderId="20" xfId="114" applyFont="1" applyBorder="1" applyAlignment="1">
      <alignment horizontal="center" vertical="center" textRotation="180"/>
      <protection/>
    </xf>
    <xf numFmtId="0" fontId="118" fillId="0" borderId="25" xfId="114" applyFont="1" applyBorder="1" applyAlignment="1">
      <alignment horizontal="center" vertical="center" textRotation="180"/>
      <protection/>
    </xf>
    <xf numFmtId="0" fontId="118" fillId="0" borderId="21" xfId="114" applyFont="1" applyBorder="1" applyAlignment="1">
      <alignment horizontal="center" vertical="center" textRotation="180"/>
      <protection/>
    </xf>
    <xf numFmtId="0" fontId="105" fillId="0" borderId="23" xfId="114" applyFont="1" applyBorder="1" applyAlignment="1">
      <alignment horizontal="center" vertical="center"/>
      <protection/>
    </xf>
    <xf numFmtId="0" fontId="105" fillId="0" borderId="24" xfId="114" applyFont="1" applyBorder="1" applyAlignment="1">
      <alignment horizontal="center" vertical="center"/>
      <protection/>
    </xf>
    <xf numFmtId="0" fontId="105" fillId="0" borderId="34" xfId="114" applyFont="1" applyBorder="1" applyAlignment="1">
      <alignment horizontal="center" vertical="center"/>
      <protection/>
    </xf>
    <xf numFmtId="0" fontId="89" fillId="0" borderId="23" xfId="114" applyBorder="1" applyAlignment="1">
      <alignment horizontal="center" vertical="center"/>
      <protection/>
    </xf>
    <xf numFmtId="0" fontId="89" fillId="0" borderId="34" xfId="114" applyBorder="1" applyAlignment="1">
      <alignment horizontal="center" vertical="center"/>
      <protection/>
    </xf>
    <xf numFmtId="0" fontId="118" fillId="0" borderId="23" xfId="114" applyFont="1" applyBorder="1" applyAlignment="1">
      <alignment horizontal="center" vertical="center" wrapText="1"/>
      <protection/>
    </xf>
    <xf numFmtId="0" fontId="118" fillId="0" borderId="34" xfId="114" applyFont="1" applyBorder="1" applyAlignment="1">
      <alignment horizontal="center" vertical="center" wrapText="1"/>
      <protection/>
    </xf>
    <xf numFmtId="0" fontId="105" fillId="0" borderId="19" xfId="114" applyFont="1" applyBorder="1" applyAlignment="1">
      <alignment horizontal="center" vertical="center"/>
      <protection/>
    </xf>
    <xf numFmtId="0" fontId="118" fillId="0" borderId="23" xfId="114" applyFont="1" applyBorder="1" applyAlignment="1">
      <alignment horizontal="center" vertical="center"/>
      <protection/>
    </xf>
    <xf numFmtId="0" fontId="118" fillId="0" borderId="34" xfId="114" applyFont="1" applyBorder="1" applyAlignment="1">
      <alignment horizontal="center" vertical="center"/>
      <protection/>
    </xf>
    <xf numFmtId="0" fontId="116" fillId="0" borderId="19" xfId="114" applyFont="1" applyBorder="1" applyAlignment="1">
      <alignment horizontal="center" vertical="center"/>
      <protection/>
    </xf>
    <xf numFmtId="0" fontId="114" fillId="0" borderId="52" xfId="114" applyFont="1" applyBorder="1" applyAlignment="1">
      <alignment vertical="center"/>
      <protection/>
    </xf>
    <xf numFmtId="0" fontId="114" fillId="0" borderId="22" xfId="114" applyFont="1" applyBorder="1" applyAlignment="1">
      <alignment vertical="center"/>
      <protection/>
    </xf>
    <xf numFmtId="0" fontId="114" fillId="0" borderId="53" xfId="114" applyFont="1" applyBorder="1" applyAlignment="1">
      <alignment vertical="center"/>
      <protection/>
    </xf>
    <xf numFmtId="0" fontId="116" fillId="0" borderId="49" xfId="114" applyFont="1" applyBorder="1" applyAlignment="1">
      <alignment horizontal="center" vertical="center"/>
      <protection/>
    </xf>
    <xf numFmtId="0" fontId="116" fillId="0" borderId="50" xfId="114" applyFont="1" applyBorder="1" applyAlignment="1">
      <alignment horizontal="center" vertical="center"/>
      <protection/>
    </xf>
    <xf numFmtId="0" fontId="116" fillId="0" borderId="42" xfId="114" applyFont="1" applyBorder="1" applyAlignment="1">
      <alignment horizontal="center" vertical="center"/>
      <protection/>
    </xf>
    <xf numFmtId="0" fontId="116" fillId="0" borderId="43" xfId="114" applyFont="1" applyBorder="1" applyAlignment="1">
      <alignment horizontal="center" vertical="center"/>
      <protection/>
    </xf>
    <xf numFmtId="0" fontId="114" fillId="0" borderId="23" xfId="114" applyFont="1" applyBorder="1" applyAlignment="1">
      <alignment horizontal="center" vertical="center"/>
      <protection/>
    </xf>
    <xf numFmtId="0" fontId="114" fillId="0" borderId="24" xfId="114" applyFont="1" applyBorder="1" applyAlignment="1">
      <alignment horizontal="center" vertical="center"/>
      <protection/>
    </xf>
    <xf numFmtId="0" fontId="114" fillId="0" borderId="34" xfId="114" applyFont="1" applyBorder="1" applyAlignment="1">
      <alignment horizontal="center" vertical="center"/>
      <protection/>
    </xf>
    <xf numFmtId="0" fontId="116" fillId="0" borderId="23" xfId="114" applyFont="1" applyBorder="1" applyAlignment="1">
      <alignment horizontal="center" vertical="center"/>
      <protection/>
    </xf>
    <xf numFmtId="0" fontId="116" fillId="0" borderId="24" xfId="114" applyFont="1" applyBorder="1" applyAlignment="1">
      <alignment horizontal="center" vertical="center"/>
      <protection/>
    </xf>
    <xf numFmtId="0" fontId="116" fillId="0" borderId="34" xfId="114" applyFont="1" applyBorder="1" applyAlignment="1">
      <alignment horizontal="center" vertical="center"/>
      <protection/>
    </xf>
    <xf numFmtId="0" fontId="114" fillId="0" borderId="52" xfId="114" applyFont="1" applyBorder="1" applyAlignment="1">
      <alignment horizontal="left" vertical="center"/>
      <protection/>
    </xf>
    <xf numFmtId="0" fontId="114" fillId="0" borderId="22" xfId="114" applyFont="1" applyBorder="1" applyAlignment="1">
      <alignment horizontal="left" vertical="center"/>
      <protection/>
    </xf>
    <xf numFmtId="0" fontId="114" fillId="0" borderId="53" xfId="114" applyFont="1" applyBorder="1" applyAlignment="1">
      <alignment horizontal="left" vertical="center"/>
      <protection/>
    </xf>
    <xf numFmtId="0" fontId="120" fillId="0" borderId="57" xfId="114" applyFont="1" applyBorder="1" applyAlignment="1">
      <alignment horizontal="center" vertical="center"/>
      <protection/>
    </xf>
    <xf numFmtId="0" fontId="120" fillId="0" borderId="58" xfId="114" applyFont="1" applyBorder="1" applyAlignment="1">
      <alignment horizontal="center" vertical="center"/>
      <protection/>
    </xf>
    <xf numFmtId="0" fontId="120" fillId="0" borderId="59" xfId="114" applyFont="1" applyBorder="1" applyAlignment="1">
      <alignment horizontal="center" vertical="center"/>
      <protection/>
    </xf>
    <xf numFmtId="0" fontId="120" fillId="0" borderId="40" xfId="114" applyFont="1" applyBorder="1" applyAlignment="1">
      <alignment horizontal="center" vertical="center"/>
      <protection/>
    </xf>
    <xf numFmtId="0" fontId="120" fillId="0" borderId="19" xfId="114" applyFont="1" applyBorder="1" applyAlignment="1">
      <alignment horizontal="center" vertical="center"/>
      <protection/>
    </xf>
    <xf numFmtId="0" fontId="120" fillId="0" borderId="47" xfId="114" applyFont="1" applyBorder="1" applyAlignment="1">
      <alignment horizontal="center" vertical="center"/>
      <protection/>
    </xf>
    <xf numFmtId="0" fontId="114" fillId="0" borderId="54" xfId="114" applyFont="1" applyBorder="1" applyAlignment="1">
      <alignment horizontal="left" vertical="center"/>
      <protection/>
    </xf>
    <xf numFmtId="0" fontId="114" fillId="0" borderId="46" xfId="114" applyFont="1" applyBorder="1" applyAlignment="1">
      <alignment horizontal="left" vertical="center"/>
      <protection/>
    </xf>
    <xf numFmtId="0" fontId="114" fillId="0" borderId="55" xfId="114" applyFont="1" applyBorder="1" applyAlignment="1">
      <alignment horizontal="left" vertical="center"/>
      <protection/>
    </xf>
    <xf numFmtId="0" fontId="120" fillId="0" borderId="60" xfId="114" applyFont="1" applyBorder="1" applyAlignment="1">
      <alignment horizontal="center" vertical="center" wrapText="1"/>
      <protection/>
    </xf>
    <xf numFmtId="0" fontId="120" fillId="0" borderId="61" xfId="114" applyFont="1" applyBorder="1" applyAlignment="1">
      <alignment horizontal="center" vertical="center" wrapText="1"/>
      <protection/>
    </xf>
    <xf numFmtId="0" fontId="120" fillId="0" borderId="62" xfId="114" applyFont="1" applyBorder="1" applyAlignment="1">
      <alignment horizontal="center" vertical="center" wrapText="1"/>
      <protection/>
    </xf>
    <xf numFmtId="0" fontId="120" fillId="0" borderId="37" xfId="114" applyFont="1" applyBorder="1" applyAlignment="1">
      <alignment horizontal="center" vertical="center" wrapText="1"/>
      <protection/>
    </xf>
    <xf numFmtId="0" fontId="120" fillId="0" borderId="0" xfId="114" applyFont="1" applyBorder="1" applyAlignment="1">
      <alignment horizontal="center" vertical="center" wrapText="1"/>
      <protection/>
    </xf>
    <xf numFmtId="0" fontId="120" fillId="0" borderId="38" xfId="114" applyFont="1" applyBorder="1" applyAlignment="1">
      <alignment horizontal="center" vertical="center" wrapText="1"/>
      <protection/>
    </xf>
    <xf numFmtId="0" fontId="116" fillId="0" borderId="56" xfId="114" applyFont="1" applyBorder="1" applyAlignment="1">
      <alignment horizontal="center" vertical="center"/>
      <protection/>
    </xf>
    <xf numFmtId="0" fontId="116" fillId="0" borderId="20" xfId="114" applyFont="1" applyBorder="1" applyAlignment="1">
      <alignment horizontal="center" vertical="center"/>
      <protection/>
    </xf>
    <xf numFmtId="0" fontId="116" fillId="0" borderId="63" xfId="114" applyFont="1" applyBorder="1" applyAlignment="1">
      <alignment horizontal="center" vertical="center"/>
      <protection/>
    </xf>
    <xf numFmtId="0" fontId="116" fillId="0" borderId="64" xfId="114" applyFont="1" applyBorder="1" applyAlignment="1">
      <alignment horizontal="center" vertical="center"/>
      <protection/>
    </xf>
    <xf numFmtId="0" fontId="116" fillId="0" borderId="30" xfId="114" applyFont="1" applyBorder="1" applyAlignment="1">
      <alignment horizontal="center" vertical="center"/>
      <protection/>
    </xf>
    <xf numFmtId="0" fontId="105" fillId="0" borderId="49" xfId="114" applyFont="1" applyBorder="1" applyAlignment="1">
      <alignment horizontal="center" vertical="center"/>
      <protection/>
    </xf>
    <xf numFmtId="0" fontId="105" fillId="0" borderId="50" xfId="114" applyFont="1" applyBorder="1" applyAlignment="1">
      <alignment horizontal="center" vertical="center"/>
      <protection/>
    </xf>
    <xf numFmtId="0" fontId="105" fillId="0" borderId="43" xfId="114" applyFont="1" applyBorder="1" applyAlignment="1">
      <alignment horizontal="center" vertical="center"/>
      <protection/>
    </xf>
    <xf numFmtId="0" fontId="120" fillId="0" borderId="54" xfId="114" applyFont="1" applyBorder="1" applyAlignment="1">
      <alignment horizontal="center" vertical="center" wrapText="1"/>
      <protection/>
    </xf>
    <xf numFmtId="0" fontId="120" fillId="0" borderId="46" xfId="114" applyFont="1" applyBorder="1" applyAlignment="1">
      <alignment horizontal="center" vertical="center" wrapText="1"/>
      <protection/>
    </xf>
    <xf numFmtId="0" fontId="120" fillId="0" borderId="55" xfId="114" applyFont="1" applyBorder="1" applyAlignment="1">
      <alignment horizontal="center" vertical="center" wrapText="1"/>
      <protection/>
    </xf>
    <xf numFmtId="0" fontId="121" fillId="0" borderId="65" xfId="114" applyFont="1" applyBorder="1" applyAlignment="1">
      <alignment horizontal="center" vertical="center"/>
      <protection/>
    </xf>
    <xf numFmtId="0" fontId="121" fillId="0" borderId="66" xfId="114" applyFont="1" applyBorder="1" applyAlignment="1">
      <alignment horizontal="center" vertical="center"/>
      <protection/>
    </xf>
    <xf numFmtId="0" fontId="121" fillId="0" borderId="67" xfId="114" applyFont="1" applyBorder="1" applyAlignment="1">
      <alignment horizontal="center" vertical="center"/>
      <protection/>
    </xf>
    <xf numFmtId="189" fontId="121" fillId="0" borderId="56" xfId="114" applyNumberFormat="1" applyFont="1" applyBorder="1" applyAlignment="1">
      <alignment horizontal="center" vertical="center"/>
      <protection/>
    </xf>
    <xf numFmtId="189" fontId="121" fillId="0" borderId="24" xfId="114" applyNumberFormat="1" applyFont="1" applyBorder="1" applyAlignment="1">
      <alignment horizontal="center" vertical="center"/>
      <protection/>
    </xf>
    <xf numFmtId="189" fontId="121" fillId="0" borderId="68" xfId="114" applyNumberFormat="1" applyFont="1" applyBorder="1" applyAlignment="1">
      <alignment horizontal="center" vertical="center"/>
      <protection/>
    </xf>
    <xf numFmtId="0" fontId="122" fillId="0" borderId="69" xfId="114" applyFont="1" applyBorder="1" applyAlignment="1">
      <alignment horizontal="center" vertical="center" wrapText="1"/>
      <protection/>
    </xf>
    <xf numFmtId="0" fontId="122" fillId="0" borderId="44" xfId="114" applyFont="1" applyBorder="1" applyAlignment="1">
      <alignment horizontal="center" vertical="center" wrapText="1"/>
      <protection/>
    </xf>
    <xf numFmtId="0" fontId="122" fillId="0" borderId="70" xfId="114" applyFont="1" applyBorder="1" applyAlignment="1">
      <alignment horizontal="center" vertical="center" wrapText="1"/>
      <protection/>
    </xf>
    <xf numFmtId="0" fontId="119" fillId="0" borderId="65" xfId="114" applyFont="1" applyBorder="1" applyAlignment="1">
      <alignment horizontal="center" vertical="center"/>
      <protection/>
    </xf>
    <xf numFmtId="0" fontId="119" fillId="0" borderId="66" xfId="114" applyFont="1" applyBorder="1" applyAlignment="1">
      <alignment horizontal="center" vertical="center"/>
      <protection/>
    </xf>
    <xf numFmtId="0" fontId="119" fillId="0" borderId="67" xfId="114" applyFont="1" applyBorder="1" applyAlignment="1">
      <alignment horizontal="center" vertical="center"/>
      <protection/>
    </xf>
    <xf numFmtId="0" fontId="119" fillId="0" borderId="56" xfId="114" applyFont="1" applyBorder="1" applyAlignment="1">
      <alignment horizontal="center" vertical="center"/>
      <protection/>
    </xf>
    <xf numFmtId="0" fontId="119" fillId="0" borderId="24" xfId="114" applyFont="1" applyBorder="1" applyAlignment="1">
      <alignment horizontal="center" vertical="center"/>
      <protection/>
    </xf>
    <xf numFmtId="0" fontId="119" fillId="0" borderId="68" xfId="114" applyFont="1" applyBorder="1" applyAlignment="1">
      <alignment horizontal="center" vertical="center"/>
      <protection/>
    </xf>
    <xf numFmtId="0" fontId="64" fillId="51" borderId="71" xfId="103" applyFont="1" applyFill="1" applyBorder="1" applyAlignment="1" applyProtection="1">
      <alignment horizontal="center"/>
      <protection/>
    </xf>
    <xf numFmtId="0" fontId="64" fillId="51" borderId="35" xfId="103" applyFont="1" applyFill="1" applyBorder="1" applyAlignment="1" applyProtection="1">
      <alignment horizontal="center"/>
      <protection/>
    </xf>
    <xf numFmtId="0" fontId="12" fillId="31" borderId="21" xfId="103" applyFont="1" applyFill="1" applyBorder="1" applyAlignment="1" applyProtection="1">
      <alignment horizontal="left" indent="2"/>
      <protection/>
    </xf>
    <xf numFmtId="0" fontId="64" fillId="31" borderId="0" xfId="103" applyFont="1" applyFill="1" applyBorder="1" applyAlignment="1" applyProtection="1">
      <alignment horizontal="justify" vertical="top" wrapText="1"/>
      <protection/>
    </xf>
    <xf numFmtId="0" fontId="65" fillId="31" borderId="0" xfId="103" applyFont="1" applyFill="1" applyBorder="1" applyAlignment="1" applyProtection="1">
      <alignment horizontal="justify" vertical="top" wrapText="1"/>
      <protection/>
    </xf>
    <xf numFmtId="0" fontId="66" fillId="0" borderId="0" xfId="103" applyFont="1" applyAlignment="1">
      <alignment horizontal="left" vertical="center" wrapText="1"/>
      <protection/>
    </xf>
    <xf numFmtId="0" fontId="64" fillId="51" borderId="69" xfId="103" applyFont="1" applyFill="1" applyBorder="1" applyAlignment="1" applyProtection="1">
      <alignment horizontal="center"/>
      <protection/>
    </xf>
    <xf numFmtId="0" fontId="64" fillId="51" borderId="44" xfId="103" applyFont="1" applyFill="1" applyBorder="1" applyAlignment="1" applyProtection="1">
      <alignment horizontal="center"/>
      <protection/>
    </xf>
    <xf numFmtId="0" fontId="64" fillId="51" borderId="70" xfId="103" applyFont="1" applyFill="1" applyBorder="1" applyAlignment="1" applyProtection="1">
      <alignment horizontal="center"/>
      <protection/>
    </xf>
    <xf numFmtId="0" fontId="11" fillId="31" borderId="60" xfId="103" applyFont="1" applyFill="1" applyBorder="1" applyAlignment="1" applyProtection="1">
      <alignment horizontal="center" vertical="center"/>
      <protection/>
    </xf>
    <xf numFmtId="0" fontId="11" fillId="31" borderId="72" xfId="103" applyFont="1" applyFill="1" applyBorder="1" applyAlignment="1" applyProtection="1">
      <alignment horizontal="center" vertical="center"/>
      <protection/>
    </xf>
    <xf numFmtId="0" fontId="11" fillId="31" borderId="61" xfId="103" applyFont="1" applyFill="1" applyBorder="1" applyAlignment="1" applyProtection="1">
      <alignment horizontal="center" vertical="center"/>
      <protection/>
    </xf>
    <xf numFmtId="0" fontId="11" fillId="31" borderId="45" xfId="103" applyFont="1" applyFill="1" applyBorder="1" applyAlignment="1" applyProtection="1">
      <alignment horizontal="center" vertical="center"/>
      <protection/>
    </xf>
    <xf numFmtId="0" fontId="11" fillId="31" borderId="66" xfId="103" applyFont="1" applyFill="1" applyBorder="1" applyAlignment="1" applyProtection="1">
      <alignment horizontal="center"/>
      <protection/>
    </xf>
    <xf numFmtId="0" fontId="11" fillId="31" borderId="62" xfId="103" applyFont="1" applyFill="1" applyBorder="1" applyAlignment="1" applyProtection="1">
      <alignment horizontal="left" vertical="center"/>
      <protection/>
    </xf>
    <xf numFmtId="0" fontId="11" fillId="31" borderId="73" xfId="103" applyFont="1" applyFill="1" applyBorder="1" applyAlignment="1" applyProtection="1">
      <alignment horizontal="left" vertical="center"/>
      <protection/>
    </xf>
    <xf numFmtId="0" fontId="11" fillId="31" borderId="45" xfId="103" applyFont="1" applyFill="1" applyBorder="1" applyAlignment="1" applyProtection="1">
      <alignment horizontal="center" vertical="top"/>
      <protection/>
    </xf>
    <xf numFmtId="0" fontId="11" fillId="31" borderId="23" xfId="103" applyFont="1" applyFill="1" applyBorder="1" applyAlignment="1" applyProtection="1">
      <alignment horizontal="left" indent="1"/>
      <protection/>
    </xf>
    <xf numFmtId="0" fontId="11" fillId="31" borderId="24" xfId="103" applyFont="1" applyFill="1" applyBorder="1" applyAlignment="1" applyProtection="1">
      <alignment horizontal="left" indent="1"/>
      <protection/>
    </xf>
    <xf numFmtId="0" fontId="11" fillId="31" borderId="34" xfId="103" applyFont="1" applyFill="1" applyBorder="1" applyAlignment="1" applyProtection="1">
      <alignment horizontal="left" indent="1"/>
      <protection/>
    </xf>
    <xf numFmtId="0" fontId="11" fillId="31" borderId="28" xfId="103" applyFont="1" applyFill="1" applyBorder="1" applyAlignment="1" applyProtection="1">
      <alignment horizontal="left" indent="1"/>
      <protection/>
    </xf>
    <xf numFmtId="0" fontId="11" fillId="31" borderId="22" xfId="103" applyFont="1" applyFill="1" applyBorder="1" applyAlignment="1" applyProtection="1">
      <alignment horizontal="left" indent="1"/>
      <protection/>
    </xf>
    <xf numFmtId="0" fontId="11" fillId="31" borderId="31" xfId="103" applyFont="1" applyFill="1" applyBorder="1" applyAlignment="1" applyProtection="1">
      <alignment horizontal="left" indent="1"/>
      <protection/>
    </xf>
    <xf numFmtId="0" fontId="11" fillId="31" borderId="28" xfId="103" applyFont="1" applyFill="1" applyBorder="1" applyAlignment="1" applyProtection="1">
      <alignment horizontal="center" vertical="center"/>
      <protection/>
    </xf>
    <xf numFmtId="0" fontId="11" fillId="31" borderId="31" xfId="103" applyFont="1" applyFill="1" applyBorder="1" applyAlignment="1" applyProtection="1">
      <alignment horizontal="center" vertical="center"/>
      <protection/>
    </xf>
    <xf numFmtId="0" fontId="11" fillId="31" borderId="27" xfId="103" applyFont="1" applyFill="1" applyBorder="1" applyAlignment="1" applyProtection="1">
      <alignment horizontal="center" vertical="center"/>
      <protection/>
    </xf>
    <xf numFmtId="0" fontId="11" fillId="31" borderId="26" xfId="103" applyFont="1" applyFill="1" applyBorder="1" applyAlignment="1" applyProtection="1">
      <alignment horizontal="center" vertical="center"/>
      <protection/>
    </xf>
    <xf numFmtId="0" fontId="11" fillId="31" borderId="32" xfId="103" applyFont="1" applyFill="1" applyBorder="1" applyAlignment="1" applyProtection="1">
      <alignment horizontal="center" vertical="center"/>
      <protection/>
    </xf>
    <xf numFmtId="0" fontId="11" fillId="31" borderId="33" xfId="103" applyFont="1" applyFill="1" applyBorder="1" applyAlignment="1" applyProtection="1">
      <alignment horizontal="center" vertical="center"/>
      <protection/>
    </xf>
    <xf numFmtId="0" fontId="11" fillId="0" borderId="0" xfId="103" applyFont="1" applyFill="1" applyAlignment="1" applyProtection="1">
      <alignment horizontal="left" wrapText="1"/>
      <protection/>
    </xf>
    <xf numFmtId="0" fontId="62" fillId="33" borderId="69" xfId="103" applyFont="1" applyFill="1" applyBorder="1" applyAlignment="1" applyProtection="1">
      <alignment horizontal="center"/>
      <protection/>
    </xf>
    <xf numFmtId="0" fontId="62" fillId="33" borderId="44" xfId="103" applyFont="1" applyFill="1" applyBorder="1" applyAlignment="1" applyProtection="1">
      <alignment horizontal="center"/>
      <protection/>
    </xf>
    <xf numFmtId="0" fontId="62" fillId="33" borderId="70" xfId="103" applyFont="1" applyFill="1" applyBorder="1" applyAlignment="1" applyProtection="1">
      <alignment horizontal="center"/>
      <protection/>
    </xf>
    <xf numFmtId="0" fontId="63" fillId="0" borderId="69" xfId="103" applyFont="1" applyFill="1" applyBorder="1" applyAlignment="1" applyProtection="1">
      <alignment horizontal="center" vertical="center" wrapText="1"/>
      <protection/>
    </xf>
    <xf numFmtId="0" fontId="63" fillId="0" borderId="44" xfId="103" applyFont="1" applyFill="1" applyBorder="1" applyAlignment="1" applyProtection="1">
      <alignment horizontal="center" vertical="center" wrapText="1"/>
      <protection/>
    </xf>
    <xf numFmtId="0" fontId="12" fillId="16" borderId="44" xfId="103" applyFont="1" applyFill="1" applyBorder="1" applyAlignment="1" applyProtection="1">
      <alignment horizontal="center" vertical="center" wrapText="1"/>
      <protection locked="0"/>
    </xf>
    <xf numFmtId="0" fontId="12" fillId="16" borderId="70" xfId="103" applyFont="1" applyFill="1" applyBorder="1" applyAlignment="1" applyProtection="1">
      <alignment horizontal="center" vertical="center" wrapText="1"/>
      <protection locked="0"/>
    </xf>
    <xf numFmtId="0" fontId="64" fillId="33" borderId="71" xfId="103" applyFont="1" applyFill="1" applyBorder="1" applyAlignment="1" applyProtection="1">
      <alignment horizontal="center"/>
      <protection/>
    </xf>
    <xf numFmtId="0" fontId="64" fillId="33" borderId="35" xfId="103" applyFont="1" applyFill="1" applyBorder="1" applyAlignment="1" applyProtection="1">
      <alignment horizontal="center"/>
      <protection/>
    </xf>
    <xf numFmtId="0" fontId="11" fillId="31" borderId="74" xfId="103" applyFont="1" applyFill="1" applyBorder="1" applyAlignment="1" applyProtection="1">
      <alignment horizontal="left" indent="1"/>
      <protection/>
    </xf>
    <xf numFmtId="0" fontId="11" fillId="31" borderId="66" xfId="103" applyFont="1" applyFill="1" applyBorder="1" applyAlignment="1" applyProtection="1">
      <alignment horizontal="left" indent="1"/>
      <protection/>
    </xf>
    <xf numFmtId="0" fontId="11" fillId="31" borderId="75" xfId="103" applyFont="1" applyFill="1" applyBorder="1" applyAlignment="1" applyProtection="1">
      <alignment horizontal="left" indent="1"/>
      <protection/>
    </xf>
    <xf numFmtId="0" fontId="11" fillId="16" borderId="19" xfId="103" applyFont="1" applyFill="1" applyBorder="1" applyAlignment="1" applyProtection="1">
      <alignment horizontal="left"/>
      <protection locked="0"/>
    </xf>
    <xf numFmtId="0" fontId="11" fillId="16" borderId="19" xfId="103" applyFont="1" applyFill="1" applyBorder="1" applyAlignment="1" applyProtection="1">
      <alignment/>
      <protection locked="0"/>
    </xf>
    <xf numFmtId="0" fontId="11" fillId="16" borderId="23" xfId="103" applyFont="1" applyFill="1" applyBorder="1" applyAlignment="1" applyProtection="1">
      <alignment/>
      <protection locked="0"/>
    </xf>
    <xf numFmtId="0" fontId="11" fillId="16" borderId="34" xfId="103" applyFont="1" applyFill="1" applyBorder="1" applyAlignment="1" applyProtection="1">
      <alignment/>
      <protection locked="0"/>
    </xf>
    <xf numFmtId="0" fontId="11" fillId="16" borderId="24" xfId="103" applyFont="1" applyFill="1" applyBorder="1" applyAlignment="1" applyProtection="1">
      <alignment horizontal="left"/>
      <protection locked="0"/>
    </xf>
    <xf numFmtId="0" fontId="11" fillId="16" borderId="34" xfId="103" applyFont="1" applyFill="1" applyBorder="1" applyAlignment="1" applyProtection="1">
      <alignment horizontal="left"/>
      <protection locked="0"/>
    </xf>
    <xf numFmtId="0" fontId="11" fillId="16" borderId="23" xfId="103" applyFont="1" applyFill="1" applyBorder="1" applyAlignment="1" applyProtection="1">
      <alignment wrapText="1"/>
      <protection locked="0"/>
    </xf>
    <xf numFmtId="0" fontId="11" fillId="16" borderId="34" xfId="103" applyFont="1" applyFill="1" applyBorder="1" applyAlignment="1" applyProtection="1">
      <alignment wrapText="1"/>
      <protection locked="0"/>
    </xf>
    <xf numFmtId="14" fontId="11" fillId="16" borderId="23" xfId="103" applyNumberFormat="1" applyFont="1" applyFill="1" applyBorder="1" applyAlignment="1" applyProtection="1">
      <alignment horizontal="left"/>
      <protection locked="0"/>
    </xf>
    <xf numFmtId="0" fontId="11" fillId="52" borderId="0" xfId="103" applyFont="1" applyFill="1" applyBorder="1" applyAlignment="1" applyProtection="1">
      <alignment horizontal="center"/>
      <protection/>
    </xf>
    <xf numFmtId="14" fontId="11" fillId="31" borderId="0" xfId="103" applyNumberFormat="1" applyFont="1" applyFill="1" applyAlignment="1" applyProtection="1">
      <alignment horizontal="right"/>
      <protection/>
    </xf>
    <xf numFmtId="0" fontId="11" fillId="31" borderId="22" xfId="103" applyFont="1" applyFill="1" applyBorder="1" applyAlignment="1" applyProtection="1">
      <alignment horizontal="center"/>
      <protection/>
    </xf>
    <xf numFmtId="0" fontId="64" fillId="51" borderId="36" xfId="103" applyFont="1" applyFill="1" applyBorder="1" applyAlignment="1" applyProtection="1">
      <alignment horizontal="center"/>
      <protection/>
    </xf>
    <xf numFmtId="187" fontId="65" fillId="31" borderId="37" xfId="103" applyNumberFormat="1" applyFont="1" applyFill="1" applyBorder="1" applyAlignment="1" applyProtection="1">
      <alignment horizontal="center" wrapText="1"/>
      <protection/>
    </xf>
    <xf numFmtId="187" fontId="65" fillId="31" borderId="0" xfId="103" applyNumberFormat="1" applyFont="1" applyFill="1" applyBorder="1" applyAlignment="1" applyProtection="1">
      <alignment horizontal="center" wrapText="1"/>
      <protection/>
    </xf>
    <xf numFmtId="0" fontId="12" fillId="31" borderId="76" xfId="103" applyFont="1" applyFill="1" applyBorder="1" applyAlignment="1" applyProtection="1">
      <alignment horizontal="left" indent="2"/>
      <protection/>
    </xf>
    <xf numFmtId="0" fontId="12" fillId="31" borderId="63" xfId="103" applyFont="1" applyFill="1" applyBorder="1" applyAlignment="1" applyProtection="1">
      <alignment horizontal="left" indent="2"/>
      <protection/>
    </xf>
    <xf numFmtId="0" fontId="11" fillId="52" borderId="0" xfId="103" applyFont="1" applyFill="1" applyBorder="1" applyAlignment="1" applyProtection="1">
      <alignment horizontal="center" vertical="center"/>
      <protection/>
    </xf>
    <xf numFmtId="0" fontId="67" fillId="33" borderId="69" xfId="103" applyFont="1" applyFill="1" applyBorder="1" applyAlignment="1" applyProtection="1">
      <alignment horizontal="center" wrapText="1"/>
      <protection/>
    </xf>
    <xf numFmtId="0" fontId="67" fillId="33" borderId="44" xfId="103" applyFont="1" applyFill="1" applyBorder="1" applyAlignment="1" applyProtection="1">
      <alignment horizontal="center" wrapText="1"/>
      <protection/>
    </xf>
    <xf numFmtId="0" fontId="67" fillId="33" borderId="70" xfId="103" applyFont="1" applyFill="1" applyBorder="1" applyAlignment="1" applyProtection="1">
      <alignment horizontal="center" wrapText="1"/>
      <protection/>
    </xf>
    <xf numFmtId="0" fontId="12" fillId="31" borderId="44" xfId="103" applyFont="1" applyFill="1" applyBorder="1" applyAlignment="1" applyProtection="1">
      <alignment horizontal="center" vertical="center" wrapText="1"/>
      <protection/>
    </xf>
    <xf numFmtId="0" fontId="12" fillId="31" borderId="70" xfId="103" applyFont="1" applyFill="1" applyBorder="1" applyAlignment="1" applyProtection="1">
      <alignment horizontal="center" vertical="center" wrapText="1"/>
      <protection/>
    </xf>
    <xf numFmtId="0" fontId="11" fillId="31" borderId="32" xfId="103" applyFont="1" applyFill="1" applyBorder="1" applyAlignment="1" applyProtection="1">
      <alignment horizontal="left" indent="1"/>
      <protection/>
    </xf>
    <xf numFmtId="0" fontId="11" fillId="31" borderId="33" xfId="103" applyFont="1" applyFill="1" applyBorder="1" applyAlignment="1" applyProtection="1">
      <alignment horizontal="left" indent="1"/>
      <protection/>
    </xf>
    <xf numFmtId="0" fontId="10" fillId="31" borderId="0" xfId="103" applyFont="1" applyFill="1" applyAlignment="1" applyProtection="1">
      <alignment horizontal="center"/>
      <protection/>
    </xf>
    <xf numFmtId="0" fontId="59" fillId="31" borderId="0" xfId="103" applyFont="1" applyFill="1" applyAlignment="1" applyProtection="1">
      <alignment horizontal="justify" vertical="top" wrapText="1"/>
      <protection/>
    </xf>
    <xf numFmtId="0" fontId="59" fillId="31" borderId="0" xfId="103" applyFont="1" applyFill="1" applyAlignment="1" applyProtection="1">
      <alignment horizontal="justify"/>
      <protection/>
    </xf>
    <xf numFmtId="0" fontId="59" fillId="31" borderId="0" xfId="103" applyFont="1" applyFill="1" applyAlignment="1" applyProtection="1">
      <alignment horizontal="left"/>
      <protection/>
    </xf>
    <xf numFmtId="0" fontId="59" fillId="31" borderId="0" xfId="103" applyFont="1" applyFill="1" applyAlignment="1" applyProtection="1">
      <alignment horizontal="left" wrapText="1"/>
      <protection/>
    </xf>
    <xf numFmtId="0" fontId="9" fillId="16" borderId="24" xfId="103" applyFill="1" applyBorder="1" applyAlignment="1" applyProtection="1">
      <alignment horizontal="left"/>
      <protection locked="0"/>
    </xf>
    <xf numFmtId="0" fontId="9" fillId="16" borderId="34" xfId="103" applyFill="1" applyBorder="1" applyAlignment="1" applyProtection="1">
      <alignment horizontal="left"/>
      <protection locked="0"/>
    </xf>
    <xf numFmtId="0" fontId="9" fillId="16" borderId="23" xfId="103" applyFill="1" applyBorder="1" applyProtection="1">
      <alignment/>
      <protection locked="0"/>
    </xf>
    <xf numFmtId="0" fontId="9" fillId="16" borderId="34" xfId="103" applyFill="1" applyBorder="1" applyProtection="1">
      <alignment/>
      <protection locked="0"/>
    </xf>
    <xf numFmtId="0" fontId="9" fillId="16" borderId="23" xfId="103" applyFill="1" applyBorder="1" applyAlignment="1" applyProtection="1">
      <alignment wrapText="1"/>
      <protection locked="0"/>
    </xf>
    <xf numFmtId="0" fontId="9" fillId="16" borderId="34" xfId="103" applyFill="1" applyBorder="1" applyAlignment="1" applyProtection="1">
      <alignment wrapText="1"/>
      <protection locked="0"/>
    </xf>
    <xf numFmtId="14" fontId="9" fillId="16" borderId="23" xfId="103" applyNumberFormat="1" applyFill="1" applyBorder="1" applyAlignment="1" applyProtection="1">
      <alignment horizontal="left"/>
      <protection locked="0"/>
    </xf>
    <xf numFmtId="0" fontId="9" fillId="16" borderId="19" xfId="103" applyFill="1" applyBorder="1" applyProtection="1">
      <alignment/>
      <protection locked="0"/>
    </xf>
    <xf numFmtId="0" fontId="9" fillId="16" borderId="19" xfId="103" applyFill="1" applyBorder="1" applyAlignment="1" applyProtection="1">
      <alignment horizontal="left"/>
      <protection locked="0"/>
    </xf>
    <xf numFmtId="0" fontId="9" fillId="0" borderId="0" xfId="103" applyAlignment="1">
      <alignment horizontal="left" wrapText="1"/>
      <protection/>
    </xf>
    <xf numFmtId="0" fontId="22" fillId="33" borderId="69" xfId="103" applyFont="1" applyFill="1" applyBorder="1" applyAlignment="1">
      <alignment horizontal="center"/>
      <protection/>
    </xf>
    <xf numFmtId="0" fontId="22" fillId="33" borderId="44" xfId="103" applyFont="1" applyFill="1" applyBorder="1" applyAlignment="1">
      <alignment horizontal="center"/>
      <protection/>
    </xf>
    <xf numFmtId="0" fontId="22" fillId="33" borderId="70" xfId="103" applyFont="1" applyFill="1" applyBorder="1" applyAlignment="1">
      <alignment horizontal="center"/>
      <protection/>
    </xf>
    <xf numFmtId="0" fontId="23" fillId="0" borderId="69" xfId="103" applyFont="1" applyBorder="1" applyAlignment="1">
      <alignment horizontal="center" vertical="center" wrapText="1"/>
      <protection/>
    </xf>
    <xf numFmtId="0" fontId="23" fillId="0" borderId="44" xfId="103" applyFont="1" applyBorder="1" applyAlignment="1">
      <alignment horizontal="center" vertical="center" wrapText="1"/>
      <protection/>
    </xf>
    <xf numFmtId="0" fontId="19" fillId="16" borderId="44" xfId="103" applyFont="1" applyFill="1" applyBorder="1" applyAlignment="1" applyProtection="1">
      <alignment horizontal="center" vertical="center" wrapText="1"/>
      <protection locked="0"/>
    </xf>
    <xf numFmtId="0" fontId="19" fillId="16" borderId="70" xfId="103" applyFont="1" applyFill="1" applyBorder="1" applyAlignment="1" applyProtection="1">
      <alignment horizontal="center" vertical="center" wrapText="1"/>
      <protection locked="0"/>
    </xf>
    <xf numFmtId="0" fontId="24" fillId="33" borderId="71" xfId="103" applyFont="1" applyFill="1" applyBorder="1" applyAlignment="1">
      <alignment horizontal="center"/>
      <protection/>
    </xf>
    <xf numFmtId="0" fontId="24" fillId="33" borderId="35" xfId="103" applyFont="1" applyFill="1" applyBorder="1" applyAlignment="1">
      <alignment horizontal="center"/>
      <protection/>
    </xf>
    <xf numFmtId="0" fontId="9" fillId="31" borderId="74" xfId="103" applyFill="1" applyBorder="1" applyAlignment="1">
      <alignment horizontal="left" indent="1"/>
      <protection/>
    </xf>
    <xf numFmtId="0" fontId="9" fillId="31" borderId="66" xfId="103" applyFill="1" applyBorder="1" applyAlignment="1">
      <alignment horizontal="left" indent="1"/>
      <protection/>
    </xf>
    <xf numFmtId="0" fontId="9" fillId="31" borderId="75" xfId="103" applyFill="1" applyBorder="1" applyAlignment="1">
      <alignment horizontal="left" indent="1"/>
      <protection/>
    </xf>
    <xf numFmtId="0" fontId="9" fillId="31" borderId="23" xfId="103" applyFill="1" applyBorder="1" applyAlignment="1">
      <alignment horizontal="left" indent="1"/>
      <protection/>
    </xf>
    <xf numFmtId="0" fontId="9" fillId="31" borderId="24" xfId="103" applyFill="1" applyBorder="1" applyAlignment="1">
      <alignment horizontal="left" indent="1"/>
      <protection/>
    </xf>
    <xf numFmtId="0" fontId="9" fillId="31" borderId="34" xfId="103" applyFill="1" applyBorder="1" applyAlignment="1">
      <alignment horizontal="left" indent="1"/>
      <protection/>
    </xf>
    <xf numFmtId="0" fontId="9" fillId="31" borderId="28" xfId="103" applyFill="1" applyBorder="1" applyAlignment="1">
      <alignment horizontal="left" indent="1"/>
      <protection/>
    </xf>
    <xf numFmtId="0" fontId="9" fillId="31" borderId="22" xfId="103" applyFill="1" applyBorder="1" applyAlignment="1">
      <alignment horizontal="left" indent="1"/>
      <protection/>
    </xf>
    <xf numFmtId="0" fontId="9" fillId="31" borderId="31" xfId="103" applyFill="1" applyBorder="1" applyAlignment="1">
      <alignment horizontal="left" indent="1"/>
      <protection/>
    </xf>
    <xf numFmtId="0" fontId="9" fillId="31" borderId="28" xfId="103" applyFill="1" applyBorder="1" applyAlignment="1">
      <alignment horizontal="center" vertical="center"/>
      <protection/>
    </xf>
    <xf numFmtId="0" fontId="9" fillId="31" borderId="31" xfId="103" applyFill="1" applyBorder="1" applyAlignment="1">
      <alignment horizontal="center" vertical="center"/>
      <protection/>
    </xf>
    <xf numFmtId="0" fontId="9" fillId="31" borderId="27" xfId="103" applyFill="1" applyBorder="1" applyAlignment="1">
      <alignment horizontal="center" vertical="center"/>
      <protection/>
    </xf>
    <xf numFmtId="0" fontId="9" fillId="31" borderId="26" xfId="103" applyFill="1" applyBorder="1" applyAlignment="1">
      <alignment horizontal="center" vertical="center"/>
      <protection/>
    </xf>
    <xf numFmtId="0" fontId="9" fillId="31" borderId="32" xfId="103" applyFill="1" applyBorder="1" applyAlignment="1">
      <alignment horizontal="center" vertical="center"/>
      <protection/>
    </xf>
    <xf numFmtId="0" fontId="9" fillId="31" borderId="33" xfId="103" applyFill="1" applyBorder="1" applyAlignment="1">
      <alignment horizontal="center" vertical="center"/>
      <protection/>
    </xf>
    <xf numFmtId="0" fontId="24" fillId="51" borderId="69" xfId="103" applyFont="1" applyFill="1" applyBorder="1" applyAlignment="1">
      <alignment horizontal="center"/>
      <protection/>
    </xf>
    <xf numFmtId="0" fontId="24" fillId="51" borderId="44" xfId="103" applyFont="1" applyFill="1" applyBorder="1" applyAlignment="1">
      <alignment horizontal="center"/>
      <protection/>
    </xf>
    <xf numFmtId="0" fontId="24" fillId="51" borderId="70" xfId="103" applyFont="1" applyFill="1" applyBorder="1" applyAlignment="1">
      <alignment horizontal="center"/>
      <protection/>
    </xf>
    <xf numFmtId="0" fontId="9" fillId="31" borderId="60" xfId="103" applyFill="1" applyBorder="1" applyAlignment="1">
      <alignment horizontal="center" vertical="center"/>
      <protection/>
    </xf>
    <xf numFmtId="0" fontId="9" fillId="31" borderId="72" xfId="103" applyFill="1" applyBorder="1" applyAlignment="1">
      <alignment horizontal="center" vertical="center"/>
      <protection/>
    </xf>
    <xf numFmtId="0" fontId="9" fillId="31" borderId="61" xfId="103" applyFill="1" applyBorder="1" applyAlignment="1">
      <alignment horizontal="center" vertical="center"/>
      <protection/>
    </xf>
    <xf numFmtId="0" fontId="9" fillId="31" borderId="45" xfId="103" applyFill="1" applyBorder="1" applyAlignment="1">
      <alignment horizontal="center" vertical="center"/>
      <protection/>
    </xf>
    <xf numFmtId="0" fontId="9" fillId="31" borderId="66" xfId="103" applyFill="1" applyBorder="1" applyAlignment="1">
      <alignment horizontal="center"/>
      <protection/>
    </xf>
    <xf numFmtId="0" fontId="9" fillId="31" borderId="62" xfId="103" applyFill="1" applyBorder="1" applyAlignment="1">
      <alignment horizontal="left" vertical="center"/>
      <protection/>
    </xf>
    <xf numFmtId="0" fontId="9" fillId="31" borderId="73" xfId="103" applyFill="1" applyBorder="1" applyAlignment="1">
      <alignment horizontal="left" vertical="center"/>
      <protection/>
    </xf>
    <xf numFmtId="0" fontId="9" fillId="31" borderId="45" xfId="103" applyFill="1" applyBorder="1" applyAlignment="1">
      <alignment horizontal="center" vertical="top"/>
      <protection/>
    </xf>
    <xf numFmtId="0" fontId="24" fillId="51" borderId="71" xfId="103" applyFont="1" applyFill="1" applyBorder="1" applyAlignment="1">
      <alignment horizontal="center"/>
      <protection/>
    </xf>
    <xf numFmtId="0" fontId="24" fillId="51" borderId="35" xfId="103" applyFont="1" applyFill="1" applyBorder="1" applyAlignment="1">
      <alignment horizontal="center"/>
      <protection/>
    </xf>
    <xf numFmtId="0" fontId="19" fillId="31" borderId="21" xfId="103" applyFont="1" applyFill="1" applyBorder="1" applyAlignment="1">
      <alignment horizontal="left" indent="2"/>
      <protection/>
    </xf>
    <xf numFmtId="0" fontId="24" fillId="31" borderId="0" xfId="103" applyFont="1" applyFill="1" applyAlignment="1">
      <alignment horizontal="justify" vertical="top" wrapText="1"/>
      <protection/>
    </xf>
    <xf numFmtId="0" fontId="26" fillId="31" borderId="0" xfId="103" applyFont="1" applyFill="1" applyAlignment="1">
      <alignment horizontal="justify" vertical="top" wrapText="1"/>
      <protection/>
    </xf>
    <xf numFmtId="0" fontId="27" fillId="0" borderId="0" xfId="103" applyFont="1" applyAlignment="1">
      <alignment horizontal="left" vertical="center" wrapText="1"/>
      <protection/>
    </xf>
    <xf numFmtId="0" fontId="28" fillId="31" borderId="0" xfId="103" applyFont="1" applyFill="1" applyAlignment="1">
      <alignment horizontal="center"/>
      <protection/>
    </xf>
    <xf numFmtId="0" fontId="30" fillId="31" borderId="0" xfId="103" applyFont="1" applyFill="1" applyAlignment="1">
      <alignment horizontal="justify" vertical="top" wrapText="1"/>
      <protection/>
    </xf>
    <xf numFmtId="0" fontId="30" fillId="31" borderId="0" xfId="103" applyFont="1" applyFill="1" applyAlignment="1">
      <alignment horizontal="justify"/>
      <protection/>
    </xf>
    <xf numFmtId="0" fontId="30" fillId="31" borderId="0" xfId="103" applyFont="1" applyFill="1" applyAlignment="1">
      <alignment horizontal="left"/>
      <protection/>
    </xf>
    <xf numFmtId="0" fontId="30" fillId="31" borderId="0" xfId="103" applyFont="1" applyFill="1" applyAlignment="1">
      <alignment horizontal="left" wrapText="1"/>
      <protection/>
    </xf>
    <xf numFmtId="0" fontId="31" fillId="33" borderId="69" xfId="103" applyFont="1" applyFill="1" applyBorder="1" applyAlignment="1">
      <alignment horizontal="center" wrapText="1"/>
      <protection/>
    </xf>
    <xf numFmtId="0" fontId="31" fillId="33" borderId="44" xfId="103" applyFont="1" applyFill="1" applyBorder="1" applyAlignment="1">
      <alignment horizontal="center" wrapText="1"/>
      <protection/>
    </xf>
    <xf numFmtId="0" fontId="31" fillId="33" borderId="70" xfId="103" applyFont="1" applyFill="1" applyBorder="1" applyAlignment="1">
      <alignment horizontal="center" wrapText="1"/>
      <protection/>
    </xf>
    <xf numFmtId="0" fontId="33" fillId="0" borderId="69" xfId="103" applyFont="1" applyBorder="1" applyAlignment="1">
      <alignment horizontal="center" vertical="center" wrapText="1"/>
      <protection/>
    </xf>
    <xf numFmtId="0" fontId="33" fillId="0" borderId="44" xfId="103" applyFont="1" applyBorder="1" applyAlignment="1">
      <alignment horizontal="center" vertical="center" wrapText="1"/>
      <protection/>
    </xf>
    <xf numFmtId="0" fontId="34" fillId="31" borderId="44" xfId="103" applyFont="1" applyFill="1" applyBorder="1" applyAlignment="1">
      <alignment horizontal="center" vertical="center" wrapText="1"/>
      <protection/>
    </xf>
    <xf numFmtId="0" fontId="34" fillId="31" borderId="70" xfId="103" applyFont="1" applyFill="1" applyBorder="1" applyAlignment="1">
      <alignment horizontal="center" vertical="center" wrapText="1"/>
      <protection/>
    </xf>
    <xf numFmtId="0" fontId="35" fillId="33" borderId="71" xfId="103" applyFont="1" applyFill="1" applyBorder="1" applyAlignment="1">
      <alignment horizontal="center"/>
      <protection/>
    </xf>
    <xf numFmtId="0" fontId="35" fillId="33" borderId="35" xfId="103" applyFont="1" applyFill="1" applyBorder="1" applyAlignment="1">
      <alignment horizontal="center"/>
      <protection/>
    </xf>
    <xf numFmtId="0" fontId="29" fillId="31" borderId="32" xfId="103" applyFont="1" applyFill="1" applyBorder="1" applyAlignment="1">
      <alignment horizontal="left" indent="1"/>
      <protection/>
    </xf>
    <xf numFmtId="0" fontId="29" fillId="31" borderId="33" xfId="103" applyFont="1" applyFill="1" applyBorder="1" applyAlignment="1">
      <alignment horizontal="left" indent="1"/>
      <protection/>
    </xf>
    <xf numFmtId="0" fontId="29" fillId="31" borderId="23" xfId="103" applyFont="1" applyFill="1" applyBorder="1" applyAlignment="1">
      <alignment horizontal="left" indent="1"/>
      <protection/>
    </xf>
    <xf numFmtId="0" fontId="29" fillId="31" borderId="34" xfId="103" applyFont="1" applyFill="1" applyBorder="1" applyAlignment="1">
      <alignment horizontal="left" indent="1"/>
      <protection/>
    </xf>
    <xf numFmtId="0" fontId="29" fillId="52" borderId="0" xfId="103" applyFont="1" applyFill="1" applyAlignment="1">
      <alignment horizontal="center" vertical="center"/>
      <protection/>
    </xf>
    <xf numFmtId="0" fontId="35" fillId="51" borderId="69" xfId="103" applyFont="1" applyFill="1" applyBorder="1" applyAlignment="1">
      <alignment horizontal="center"/>
      <protection/>
    </xf>
    <xf numFmtId="0" fontId="35" fillId="51" borderId="44" xfId="103" applyFont="1" applyFill="1" applyBorder="1" applyAlignment="1">
      <alignment horizontal="center"/>
      <protection/>
    </xf>
    <xf numFmtId="0" fontId="35" fillId="51" borderId="70" xfId="103" applyFont="1" applyFill="1" applyBorder="1" applyAlignment="1">
      <alignment horizontal="center"/>
      <protection/>
    </xf>
    <xf numFmtId="0" fontId="29" fillId="31" borderId="60" xfId="103" applyFont="1" applyFill="1" applyBorder="1" applyAlignment="1">
      <alignment horizontal="center" vertical="center"/>
      <protection/>
    </xf>
    <xf numFmtId="0" fontId="29" fillId="31" borderId="72" xfId="103" applyFont="1" applyFill="1" applyBorder="1" applyAlignment="1">
      <alignment horizontal="center" vertical="center"/>
      <protection/>
    </xf>
    <xf numFmtId="0" fontId="29" fillId="31" borderId="61" xfId="103" applyFont="1" applyFill="1" applyBorder="1" applyAlignment="1">
      <alignment horizontal="center" vertical="center"/>
      <protection/>
    </xf>
    <xf numFmtId="0" fontId="29" fillId="31" borderId="45" xfId="103" applyFont="1" applyFill="1" applyBorder="1" applyAlignment="1">
      <alignment horizontal="center" vertical="center"/>
      <protection/>
    </xf>
    <xf numFmtId="0" fontId="29" fillId="31" borderId="62" xfId="103" applyFont="1" applyFill="1" applyBorder="1" applyAlignment="1">
      <alignment horizontal="left" vertical="center"/>
      <protection/>
    </xf>
    <xf numFmtId="0" fontId="29" fillId="31" borderId="73" xfId="103" applyFont="1" applyFill="1" applyBorder="1" applyAlignment="1">
      <alignment horizontal="left" vertical="center"/>
      <protection/>
    </xf>
    <xf numFmtId="0" fontId="35" fillId="51" borderId="71" xfId="103" applyFont="1" applyFill="1" applyBorder="1" applyAlignment="1">
      <alignment horizontal="center"/>
      <protection/>
    </xf>
    <xf numFmtId="0" fontId="35" fillId="51" borderId="35" xfId="103" applyFont="1" applyFill="1" applyBorder="1" applyAlignment="1">
      <alignment horizontal="center"/>
      <protection/>
    </xf>
    <xf numFmtId="0" fontId="35" fillId="51" borderId="36" xfId="103" applyFont="1" applyFill="1" applyBorder="1" applyAlignment="1">
      <alignment horizontal="center"/>
      <protection/>
    </xf>
    <xf numFmtId="187" fontId="36" fillId="31" borderId="37" xfId="103" applyNumberFormat="1" applyFont="1" applyFill="1" applyBorder="1" applyAlignment="1">
      <alignment horizontal="center" wrapText="1"/>
      <protection/>
    </xf>
    <xf numFmtId="187" fontId="36" fillId="31" borderId="0" xfId="103" applyNumberFormat="1" applyFont="1" applyFill="1" applyAlignment="1">
      <alignment horizontal="center" wrapText="1"/>
      <protection/>
    </xf>
    <xf numFmtId="0" fontId="34" fillId="31" borderId="76" xfId="103" applyFont="1" applyFill="1" applyBorder="1" applyAlignment="1">
      <alignment horizontal="left" indent="2"/>
      <protection/>
    </xf>
    <xf numFmtId="0" fontId="34" fillId="31" borderId="63" xfId="103" applyFont="1" applyFill="1" applyBorder="1" applyAlignment="1">
      <alignment horizontal="left" indent="2"/>
      <protection/>
    </xf>
    <xf numFmtId="0" fontId="29" fillId="52" borderId="0" xfId="103" applyFont="1" applyFill="1" applyAlignment="1">
      <alignment horizontal="center"/>
      <protection/>
    </xf>
    <xf numFmtId="14" fontId="29" fillId="31" borderId="0" xfId="103" applyNumberFormat="1" applyFont="1" applyFill="1" applyAlignment="1">
      <alignment horizontal="right"/>
      <protection/>
    </xf>
    <xf numFmtId="0" fontId="36" fillId="31" borderId="0" xfId="103" applyFont="1" applyFill="1" applyAlignment="1">
      <alignment horizontal="justify" vertical="top" wrapText="1"/>
      <protection/>
    </xf>
    <xf numFmtId="0" fontId="29" fillId="31" borderId="22" xfId="103" applyFont="1" applyFill="1" applyBorder="1" applyAlignment="1">
      <alignment horizontal="center"/>
      <protection/>
    </xf>
    <xf numFmtId="0" fontId="13" fillId="0" borderId="23" xfId="112" applyFont="1" applyFill="1" applyBorder="1" applyAlignment="1" applyProtection="1">
      <alignment horizontal="center" vertical="center"/>
      <protection/>
    </xf>
    <xf numFmtId="0" fontId="13" fillId="0" borderId="24" xfId="112" applyFont="1" applyFill="1" applyBorder="1" applyAlignment="1" applyProtection="1">
      <alignment horizontal="center" vertical="center"/>
      <protection/>
    </xf>
    <xf numFmtId="0" fontId="13" fillId="0" borderId="34" xfId="112" applyFont="1" applyFill="1" applyBorder="1" applyAlignment="1" applyProtection="1">
      <alignment horizontal="center" vertical="center"/>
      <protection/>
    </xf>
  </cellXfs>
  <cellStyles count="153">
    <cellStyle name="Normal" xfId="0"/>
    <cellStyle name="12" xfId="15"/>
    <cellStyle name="12 2" xfId="16"/>
    <cellStyle name="12 2 2" xfId="17"/>
    <cellStyle name="20% - Ênfase1" xfId="18"/>
    <cellStyle name="20% - Ênfase1 2" xfId="19"/>
    <cellStyle name="20% - Ênfase1 2 2" xfId="20"/>
    <cellStyle name="20% - Ênfase2" xfId="21"/>
    <cellStyle name="20% - Ênfase2 2" xfId="22"/>
    <cellStyle name="20% - Ênfase2 2 2" xfId="23"/>
    <cellStyle name="20% - Ênfase3" xfId="24"/>
    <cellStyle name="20% - Ênfase3 2" xfId="25"/>
    <cellStyle name="20% - Ênfase3 2 2" xfId="26"/>
    <cellStyle name="20% - Ênfase4" xfId="27"/>
    <cellStyle name="20% - Ênfase4 2" xfId="28"/>
    <cellStyle name="20% - Ênfase4 2 2" xfId="29"/>
    <cellStyle name="20% - Ênfase5" xfId="30"/>
    <cellStyle name="20% - Ênfase5 2" xfId="31"/>
    <cellStyle name="20% - Ênfase5 2 2" xfId="32"/>
    <cellStyle name="20% - Ênfase6" xfId="33"/>
    <cellStyle name="20% - Ênfase6 2" xfId="34"/>
    <cellStyle name="20% - Ênfase6 2 2" xfId="35"/>
    <cellStyle name="40% - Ênfase1" xfId="36"/>
    <cellStyle name="40% - Ênfase1 2" xfId="37"/>
    <cellStyle name="40% - Ênfase1 2 2" xfId="38"/>
    <cellStyle name="40% - Ênfase2" xfId="39"/>
    <cellStyle name="40% - Ênfase2 2" xfId="40"/>
    <cellStyle name="40% - Ênfase2 2 2" xfId="41"/>
    <cellStyle name="40% - Ênfase3" xfId="42"/>
    <cellStyle name="40% - Ênfase3 2" xfId="43"/>
    <cellStyle name="40% - Ênfase3 2 2" xfId="44"/>
    <cellStyle name="40% - Ênfase4" xfId="45"/>
    <cellStyle name="40% - Ênfase4 2" xfId="46"/>
    <cellStyle name="40% - Ênfase4 2 2" xfId="47"/>
    <cellStyle name="40% - Ênfase5" xfId="48"/>
    <cellStyle name="40% - Ênfase5 2" xfId="49"/>
    <cellStyle name="40% - Ênfase5 2 2" xfId="50"/>
    <cellStyle name="40% - Ênfase6" xfId="51"/>
    <cellStyle name="40% - Ênfase6 2" xfId="52"/>
    <cellStyle name="40% - Ênfase6 2 2" xfId="53"/>
    <cellStyle name="60% - Ênfase1" xfId="54"/>
    <cellStyle name="60% - Ênfase1 2" xfId="55"/>
    <cellStyle name="60% - Ênfase2" xfId="56"/>
    <cellStyle name="60% - Ênfase2 2" xfId="57"/>
    <cellStyle name="60% - Ênfase3" xfId="58"/>
    <cellStyle name="60% - Ênfase3 2" xfId="59"/>
    <cellStyle name="60% - Ênfase4" xfId="60"/>
    <cellStyle name="60% - Ênfase4 2" xfId="61"/>
    <cellStyle name="60% - Ênfase5" xfId="62"/>
    <cellStyle name="60% - Ênfase5 2" xfId="63"/>
    <cellStyle name="60% - Ênfase6" xfId="64"/>
    <cellStyle name="60% - Ênfase6 2" xfId="65"/>
    <cellStyle name="Bom" xfId="66"/>
    <cellStyle name="Bom 2" xfId="67"/>
    <cellStyle name="Cálculo" xfId="68"/>
    <cellStyle name="Cálculo 2" xfId="69"/>
    <cellStyle name="Célula de Verificação" xfId="70"/>
    <cellStyle name="Célula de Verificação 2" xfId="71"/>
    <cellStyle name="Célula Vinculada" xfId="72"/>
    <cellStyle name="Célula Vinculada 2" xfId="73"/>
    <cellStyle name="Ênfase1" xfId="74"/>
    <cellStyle name="Ênfase1 2" xfId="75"/>
    <cellStyle name="Ênfase2" xfId="76"/>
    <cellStyle name="Ênfase2 2" xfId="77"/>
    <cellStyle name="Ênfase3" xfId="78"/>
    <cellStyle name="Ênfase3 2" xfId="79"/>
    <cellStyle name="Ênfase4" xfId="80"/>
    <cellStyle name="Ênfase4 2" xfId="81"/>
    <cellStyle name="Ênfase5" xfId="82"/>
    <cellStyle name="Ênfase5 2" xfId="83"/>
    <cellStyle name="Ênfase6" xfId="84"/>
    <cellStyle name="Ênfase6 2" xfId="85"/>
    <cellStyle name="Entrada" xfId="86"/>
    <cellStyle name="Entrada 2" xfId="87"/>
    <cellStyle name="Euro" xfId="88"/>
    <cellStyle name="Hyperlink" xfId="89"/>
    <cellStyle name="Followed Hyperlink" xfId="90"/>
    <cellStyle name="Incorreto 2" xfId="91"/>
    <cellStyle name="Indefinido" xfId="92"/>
    <cellStyle name="Currency" xfId="93"/>
    <cellStyle name="Currency [0]" xfId="94"/>
    <cellStyle name="Moeda 2" xfId="95"/>
    <cellStyle name="Moeda 2 2" xfId="96"/>
    <cellStyle name="Moeda 2 3" xfId="97"/>
    <cellStyle name="Moeda 4" xfId="98"/>
    <cellStyle name="Moeda 4 2" xfId="99"/>
    <cellStyle name="Neutra 2" xfId="100"/>
    <cellStyle name="Neutro" xfId="101"/>
    <cellStyle name="Normal 14" xfId="102"/>
    <cellStyle name="Normal 2" xfId="103"/>
    <cellStyle name="Normal 2 2" xfId="104"/>
    <cellStyle name="Normal 2 2 3" xfId="105"/>
    <cellStyle name="Normal 2 3" xfId="106"/>
    <cellStyle name="Normal 3" xfId="107"/>
    <cellStyle name="Normal 3 2" xfId="108"/>
    <cellStyle name="Normal 3 2 2" xfId="109"/>
    <cellStyle name="Normal 3 3" xfId="110"/>
    <cellStyle name="Normal 4" xfId="111"/>
    <cellStyle name="Normal 4 2" xfId="112"/>
    <cellStyle name="Normal 4 3" xfId="113"/>
    <cellStyle name="Normal 5" xfId="114"/>
    <cellStyle name="Normal 5 2" xfId="115"/>
    <cellStyle name="Normal 6" xfId="116"/>
    <cellStyle name="Normal 7" xfId="117"/>
    <cellStyle name="Normal 7 2" xfId="118"/>
    <cellStyle name="Normal 8" xfId="119"/>
    <cellStyle name="Normal 9" xfId="120"/>
    <cellStyle name="Normal_Planilha de Preços Unitários 2000-2001" xfId="121"/>
    <cellStyle name="Normal_PM Poço das Antas TP 002-2003 ORÇ" xfId="122"/>
    <cellStyle name="Nota" xfId="123"/>
    <cellStyle name="Nota 2" xfId="124"/>
    <cellStyle name="Percent" xfId="125"/>
    <cellStyle name="Porcentagem 2" xfId="126"/>
    <cellStyle name="Porcentagem 2 2" xfId="127"/>
    <cellStyle name="Porcentagem 2 3" xfId="128"/>
    <cellStyle name="Porcentagem 3" xfId="129"/>
    <cellStyle name="Porcentagem 3 2" xfId="130"/>
    <cellStyle name="Porcentagem 4" xfId="131"/>
    <cellStyle name="Porcentagem 5" xfId="132"/>
    <cellStyle name="Ruim" xfId="133"/>
    <cellStyle name="Saída" xfId="134"/>
    <cellStyle name="Saída 2" xfId="135"/>
    <cellStyle name="Comma [0]" xfId="136"/>
    <cellStyle name="Separador de milhares 2" xfId="137"/>
    <cellStyle name="Separador de milhares 2 2" xfId="138"/>
    <cellStyle name="Separador de milhares 2 2 3" xfId="139"/>
    <cellStyle name="Separador de milhares 2 3" xfId="140"/>
    <cellStyle name="Separador de milhares 3" xfId="141"/>
    <cellStyle name="Separador de milhares 4" xfId="142"/>
    <cellStyle name="Separador de milhares 4 2" xfId="143"/>
    <cellStyle name="Separador de milhares 4 2 2" xfId="144"/>
    <cellStyle name="Texto de Aviso" xfId="145"/>
    <cellStyle name="Texto de Aviso 2" xfId="146"/>
    <cellStyle name="Texto Explicativo" xfId="147"/>
    <cellStyle name="Texto Explicativo 2" xfId="148"/>
    <cellStyle name="Título" xfId="149"/>
    <cellStyle name="Título 1" xfId="150"/>
    <cellStyle name="Título 1 2" xfId="151"/>
    <cellStyle name="Título 2" xfId="152"/>
    <cellStyle name="Título 2 2" xfId="153"/>
    <cellStyle name="Título 3" xfId="154"/>
    <cellStyle name="Título 3 2" xfId="155"/>
    <cellStyle name="Título 4" xfId="156"/>
    <cellStyle name="Título 4 2" xfId="157"/>
    <cellStyle name="Título 5" xfId="158"/>
    <cellStyle name="Total" xfId="159"/>
    <cellStyle name="Total 2" xfId="160"/>
    <cellStyle name="Comma" xfId="161"/>
    <cellStyle name="Vírgula 2" xfId="162"/>
    <cellStyle name="Vírgula 2 2" xfId="163"/>
    <cellStyle name="Vírgula 3" xfId="164"/>
    <cellStyle name="Vírgula 3 2" xfId="165"/>
    <cellStyle name="Vírgula 3 3" xfId="166"/>
  </cellStyles>
  <dxfs count="18">
    <dxf>
      <font>
        <color indexed="9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  <fill>
        <patternFill>
          <bgColor indexed="43"/>
        </patternFill>
      </fill>
    </dxf>
    <dxf>
      <font>
        <color indexed="9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  <fill>
        <patternFill>
          <bgColor indexed="43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color theme="0"/>
      </font>
      <fill>
        <patternFill>
          <bgColor theme="0"/>
        </patternFill>
      </fill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1</xdr:col>
      <xdr:colOff>0</xdr:colOff>
      <xdr:row>11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037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0</xdr:colOff>
      <xdr:row>10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2887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0</xdr:colOff>
      <xdr:row>12</xdr:row>
      <xdr:rowOff>9525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57187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0</xdr:colOff>
      <xdr:row>13</xdr:row>
      <xdr:rowOff>9525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4337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14</xdr:row>
      <xdr:rowOff>9525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71487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6" name="Imagem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5723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1438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8" name="Imagem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7153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9" name="Imagem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2868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0" name="Imagem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98583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1" name="Imagem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04298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2" name="Imagem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10013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3" name="Imagem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15728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14" name="Imagem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21443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15" name="Imagem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27158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16" name="Imagem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32873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17" name="Imagem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38588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18" name="Imagem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50018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561975</xdr:rowOff>
    </xdr:from>
    <xdr:to>
      <xdr:col>1</xdr:col>
      <xdr:colOff>19050</xdr:colOff>
      <xdr:row>33</xdr:row>
      <xdr:rowOff>9525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556385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38</xdr:row>
      <xdr:rowOff>19050</xdr:rowOff>
    </xdr:from>
    <xdr:to>
      <xdr:col>0</xdr:col>
      <xdr:colOff>628650</xdr:colOff>
      <xdr:row>38</xdr:row>
      <xdr:rowOff>571500</xdr:rowOff>
    </xdr:to>
    <xdr:pic>
      <xdr:nvPicPr>
        <xdr:cNvPr id="20" name="Imagem 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2400" y="19021425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66675</xdr:rowOff>
    </xdr:from>
    <xdr:to>
      <xdr:col>1</xdr:col>
      <xdr:colOff>0</xdr:colOff>
      <xdr:row>39</xdr:row>
      <xdr:rowOff>485775</xdr:rowOff>
    </xdr:to>
    <xdr:pic>
      <xdr:nvPicPr>
        <xdr:cNvPr id="21" name="Imagem 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964055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40</xdr:row>
      <xdr:rowOff>9525</xdr:rowOff>
    </xdr:from>
    <xdr:to>
      <xdr:col>0</xdr:col>
      <xdr:colOff>552450</xdr:colOff>
      <xdr:row>40</xdr:row>
      <xdr:rowOff>571500</xdr:rowOff>
    </xdr:to>
    <xdr:pic>
      <xdr:nvPicPr>
        <xdr:cNvPr id="22" name="Imagem 12" descr="Resultado de imagem para PLACA I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0025" y="20154900"/>
          <a:ext cx="352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41</xdr:row>
      <xdr:rowOff>9525</xdr:rowOff>
    </xdr:from>
    <xdr:to>
      <xdr:col>0</xdr:col>
      <xdr:colOff>552450</xdr:colOff>
      <xdr:row>41</xdr:row>
      <xdr:rowOff>571500</xdr:rowOff>
    </xdr:to>
    <xdr:pic>
      <xdr:nvPicPr>
        <xdr:cNvPr id="23" name="Imagem 13" descr="Resultado de imagem para PLACA LOMBAD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0025" y="20726400"/>
          <a:ext cx="352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30</xdr:row>
      <xdr:rowOff>561975</xdr:rowOff>
    </xdr:to>
    <xdr:pic>
      <xdr:nvPicPr>
        <xdr:cNvPr id="24" name="Imagem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4430375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34</xdr:row>
      <xdr:rowOff>9525</xdr:rowOff>
    </xdr:to>
    <xdr:pic>
      <xdr:nvPicPr>
        <xdr:cNvPr id="25" name="Imagem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614487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6" name="Imagem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67163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0</xdr:colOff>
      <xdr:row>15</xdr:row>
      <xdr:rowOff>9525</xdr:rowOff>
    </xdr:to>
    <xdr:pic>
      <xdr:nvPicPr>
        <xdr:cNvPr id="27" name="Imagem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528637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</xdr:row>
      <xdr:rowOff>9525</xdr:rowOff>
    </xdr:from>
    <xdr:to>
      <xdr:col>0</xdr:col>
      <xdr:colOff>657225</xdr:colOff>
      <xdr:row>15</xdr:row>
      <xdr:rowOff>561975</xdr:rowOff>
    </xdr:to>
    <xdr:pic>
      <xdr:nvPicPr>
        <xdr:cNvPr id="28" name="Imagem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" y="58674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37</xdr:row>
      <xdr:rowOff>133350</xdr:rowOff>
    </xdr:from>
    <xdr:to>
      <xdr:col>0</xdr:col>
      <xdr:colOff>742950</xdr:colOff>
      <xdr:row>37</xdr:row>
      <xdr:rowOff>495300</xdr:rowOff>
    </xdr:to>
    <xdr:pic>
      <xdr:nvPicPr>
        <xdr:cNvPr id="29" name="Imagem 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050" y="1856422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28575</xdr:rowOff>
    </xdr:from>
    <xdr:to>
      <xdr:col>3</xdr:col>
      <xdr:colOff>1685925</xdr:colOff>
      <xdr:row>50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90575"/>
          <a:ext cx="6829425" cy="920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M_Diversas\Marat&#225;\Projetos\2017\1-Enviado_20-02-2017\Rua%20Mathias%20Kirsten%20Filho\05%20Or&#231;amento\B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ENG\Servidor%20Eng\Users\Usuario\Desktop\Encargos%20Socia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tonio\TEOTONIO\Teotonio\Editais\Editais%202016\07%20Julho\14%20Julho%202016%20-%20PM%20Santa%20Clara%20do%20Sul%20-%20TP%2004-02_2016%20-%20Pavimenta&#231;&#227;o\OR&#199;AMENTO\Encargos%20Soci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ENCHER"/>
      <sheetName val="DECLARAÇÃ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socias"/>
      <sheetName val="Extens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socias"/>
      <sheetName val="Exte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E86"/>
  <sheetViews>
    <sheetView showGridLines="0" tabSelected="1" view="pageBreakPreview" zoomScale="70" zoomScaleNormal="60" zoomScaleSheetLayoutView="70" zoomScalePageLayoutView="0" workbookViewId="0" topLeftCell="A1">
      <selection activeCell="A4" sqref="A4:O4"/>
    </sheetView>
  </sheetViews>
  <sheetFormatPr defaultColWidth="11.421875" defaultRowHeight="12.75"/>
  <cols>
    <col min="1" max="1" width="6.421875" style="13" customWidth="1"/>
    <col min="2" max="3" width="17.00390625" style="2" customWidth="1"/>
    <col min="4" max="4" width="16.7109375" style="2" bestFit="1" customWidth="1"/>
    <col min="5" max="5" width="87.8515625" style="16" customWidth="1"/>
    <col min="6" max="6" width="13.421875" style="17" customWidth="1"/>
    <col min="7" max="7" width="8.28125" style="3" customWidth="1"/>
    <col min="8" max="8" width="11.7109375" style="173" customWidth="1"/>
    <col min="9" max="12" width="11.7109375" style="3" customWidth="1"/>
    <col min="13" max="13" width="16.421875" style="3" bestFit="1" customWidth="1"/>
    <col min="14" max="14" width="14.7109375" style="3" customWidth="1"/>
    <col min="15" max="15" width="16.421875" style="18" bestFit="1" customWidth="1"/>
    <col min="16" max="16" width="11.421875" style="2" customWidth="1"/>
    <col min="17" max="17" width="13.57421875" style="2" bestFit="1" customWidth="1"/>
    <col min="18" max="21" width="11.421875" style="2" customWidth="1"/>
    <col min="22" max="23" width="11.421875" style="4" customWidth="1"/>
    <col min="24" max="31" width="11.421875" style="2" customWidth="1"/>
    <col min="32" max="16384" width="11.421875" style="13" customWidth="1"/>
  </cols>
  <sheetData>
    <row r="1" spans="1:31" s="50" customFormat="1" ht="20.25">
      <c r="A1" s="34" t="s">
        <v>562</v>
      </c>
      <c r="B1" s="21"/>
      <c r="C1" s="21"/>
      <c r="D1" s="24"/>
      <c r="E1" s="47"/>
      <c r="F1" s="48"/>
      <c r="G1" s="49"/>
      <c r="H1" s="380"/>
      <c r="I1" s="49"/>
      <c r="J1" s="49"/>
      <c r="K1" s="49"/>
      <c r="L1" s="49"/>
      <c r="P1" s="20"/>
      <c r="Q1" s="20"/>
      <c r="R1" s="20"/>
      <c r="S1" s="20"/>
      <c r="T1" s="20"/>
      <c r="U1" s="20"/>
      <c r="V1" s="21"/>
      <c r="W1" s="21"/>
      <c r="X1" s="20"/>
      <c r="Y1" s="20"/>
      <c r="Z1" s="20"/>
      <c r="AA1" s="20"/>
      <c r="AB1" s="20"/>
      <c r="AC1" s="20"/>
      <c r="AD1" s="20"/>
      <c r="AE1" s="20"/>
    </row>
    <row r="2" spans="1:31" s="33" customFormat="1" ht="20.25">
      <c r="A2" s="381" t="s">
        <v>431</v>
      </c>
      <c r="P2" s="22"/>
      <c r="Q2" s="20"/>
      <c r="R2" s="20"/>
      <c r="S2" s="20"/>
      <c r="T2" s="20"/>
      <c r="U2" s="20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s="33" customFormat="1" ht="20.25">
      <c r="B3" s="24"/>
      <c r="C3" s="24"/>
      <c r="D3" s="24"/>
      <c r="E3" s="11"/>
      <c r="H3" s="165"/>
      <c r="L3" s="19"/>
      <c r="P3" s="22"/>
      <c r="Q3" s="20"/>
      <c r="R3" s="20"/>
      <c r="S3" s="20"/>
      <c r="T3" s="20"/>
      <c r="U3" s="20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s="33" customFormat="1" ht="20.25">
      <c r="A4" s="511" t="s">
        <v>67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22"/>
      <c r="Q4" s="20"/>
      <c r="R4" s="20"/>
      <c r="S4" s="20"/>
      <c r="T4" s="20"/>
      <c r="U4" s="20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s="33" customFormat="1" ht="20.25">
      <c r="A5" s="508">
        <f>1462.47-235</f>
        <v>1227.47</v>
      </c>
      <c r="B5" s="508"/>
      <c r="C5" s="508"/>
      <c r="D5" s="508"/>
      <c r="E5" s="474">
        <v>1</v>
      </c>
      <c r="F5" s="12"/>
      <c r="G5" s="9"/>
      <c r="H5" s="166"/>
      <c r="I5" s="12"/>
      <c r="J5" s="12"/>
      <c r="K5" s="12"/>
      <c r="L5" s="12"/>
      <c r="P5" s="22"/>
      <c r="Q5" s="22"/>
      <c r="R5" s="20"/>
      <c r="S5" s="20"/>
      <c r="T5" s="20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s="33" customFormat="1" ht="20.25">
      <c r="A6" s="513">
        <f>Larguras!C5</f>
        <v>7</v>
      </c>
      <c r="B6" s="513"/>
      <c r="C6" s="513"/>
      <c r="D6" s="513"/>
      <c r="E6" s="475">
        <v>6.428</v>
      </c>
      <c r="F6" s="284"/>
      <c r="G6" s="284"/>
      <c r="H6" s="284"/>
      <c r="I6" s="12"/>
      <c r="J6" s="12"/>
      <c r="K6" s="12"/>
      <c r="L6" s="12"/>
      <c r="M6" s="515" t="s">
        <v>427</v>
      </c>
      <c r="N6" s="515"/>
      <c r="O6" s="515"/>
      <c r="P6" s="20"/>
      <c r="Q6" s="20"/>
      <c r="R6" s="20"/>
      <c r="S6" s="20"/>
      <c r="T6" s="20"/>
      <c r="U6" s="20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s="33" customFormat="1" ht="20.25">
      <c r="A7" s="514">
        <f>E8</f>
        <v>45</v>
      </c>
      <c r="B7" s="514"/>
      <c r="C7" s="514"/>
      <c r="D7" s="514"/>
      <c r="E7" s="476">
        <v>7</v>
      </c>
      <c r="F7" s="90"/>
      <c r="G7" s="90"/>
      <c r="H7" s="90"/>
      <c r="I7" s="12"/>
      <c r="J7" s="12"/>
      <c r="K7" s="12"/>
      <c r="L7" s="12"/>
      <c r="M7" s="507" t="s">
        <v>411</v>
      </c>
      <c r="N7" s="507"/>
      <c r="O7" s="507"/>
      <c r="P7" s="20"/>
      <c r="Q7" s="20"/>
      <c r="R7" s="20"/>
      <c r="S7" s="20"/>
      <c r="T7" s="20"/>
      <c r="U7" s="20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s="33" customFormat="1" ht="20.25">
      <c r="A8" s="34" t="s">
        <v>7</v>
      </c>
      <c r="B8" s="477">
        <f>ROUND(A6*A5+A7,2)</f>
        <v>8637.29</v>
      </c>
      <c r="C8" s="477"/>
      <c r="D8" s="90"/>
      <c r="E8" s="478">
        <f>ROUND(E5*E6*E7,2)</f>
        <v>45</v>
      </c>
      <c r="F8" s="479"/>
      <c r="G8" s="479"/>
      <c r="H8" s="479"/>
      <c r="I8" s="12"/>
      <c r="J8" s="12"/>
      <c r="K8" s="12"/>
      <c r="L8" s="12"/>
      <c r="M8" s="131"/>
      <c r="N8" s="131"/>
      <c r="O8" s="131"/>
      <c r="P8" s="20"/>
      <c r="Q8" s="20"/>
      <c r="R8" s="20"/>
      <c r="S8" s="20"/>
      <c r="T8" s="20"/>
      <c r="U8" s="20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21" s="4" customFormat="1" ht="20.25">
      <c r="A9" s="516" t="s">
        <v>0</v>
      </c>
      <c r="B9" s="516" t="s">
        <v>96</v>
      </c>
      <c r="C9" s="516"/>
      <c r="D9" s="516"/>
      <c r="E9" s="517" t="s">
        <v>1</v>
      </c>
      <c r="F9" s="509" t="s">
        <v>2</v>
      </c>
      <c r="G9" s="512" t="s">
        <v>8</v>
      </c>
      <c r="H9" s="510" t="s">
        <v>124</v>
      </c>
      <c r="I9" s="510" t="s">
        <v>123</v>
      </c>
      <c r="J9" s="510" t="s">
        <v>121</v>
      </c>
      <c r="K9" s="510"/>
      <c r="L9" s="510"/>
      <c r="M9" s="510" t="s">
        <v>122</v>
      </c>
      <c r="N9" s="510"/>
      <c r="O9" s="510"/>
      <c r="P9" s="2"/>
      <c r="Q9" s="2"/>
      <c r="R9" s="2"/>
      <c r="S9" s="2"/>
      <c r="T9" s="2"/>
      <c r="U9" s="2"/>
    </row>
    <row r="10" spans="1:21" s="4" customFormat="1" ht="20.25">
      <c r="A10" s="516"/>
      <c r="B10" s="56" t="s">
        <v>97</v>
      </c>
      <c r="C10" s="56"/>
      <c r="D10" s="56" t="s">
        <v>91</v>
      </c>
      <c r="E10" s="517"/>
      <c r="F10" s="509"/>
      <c r="G10" s="512"/>
      <c r="H10" s="510"/>
      <c r="I10" s="510"/>
      <c r="J10" s="91" t="s">
        <v>24</v>
      </c>
      <c r="K10" s="91" t="s">
        <v>25</v>
      </c>
      <c r="L10" s="91" t="s">
        <v>23</v>
      </c>
      <c r="M10" s="91" t="s">
        <v>24</v>
      </c>
      <c r="N10" s="91" t="s">
        <v>25</v>
      </c>
      <c r="O10" s="91" t="s">
        <v>23</v>
      </c>
      <c r="P10" s="2"/>
      <c r="Q10" s="2"/>
      <c r="R10" s="2"/>
      <c r="S10" s="2"/>
      <c r="T10" s="2"/>
      <c r="U10" s="2"/>
    </row>
    <row r="11" spans="1:31" s="10" customFormat="1" ht="20.25">
      <c r="A11" s="36">
        <v>1</v>
      </c>
      <c r="B11" s="93" t="s">
        <v>29</v>
      </c>
      <c r="C11" s="93"/>
      <c r="D11" s="93"/>
      <c r="E11" s="93"/>
      <c r="F11" s="93"/>
      <c r="G11" s="93"/>
      <c r="H11" s="167"/>
      <c r="I11" s="93"/>
      <c r="J11" s="93"/>
      <c r="K11" s="93"/>
      <c r="L11" s="93"/>
      <c r="M11" s="93"/>
      <c r="N11" s="93"/>
      <c r="O11" s="94"/>
      <c r="P11" s="2"/>
      <c r="Q11" s="2"/>
      <c r="R11" s="2"/>
      <c r="S11" s="2"/>
      <c r="T11" s="2"/>
      <c r="U11" s="2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0" customFormat="1" ht="20.25">
      <c r="A12" s="78" t="s">
        <v>9</v>
      </c>
      <c r="B12" s="78" t="s">
        <v>95</v>
      </c>
      <c r="C12" s="78" t="s">
        <v>267</v>
      </c>
      <c r="D12" s="175">
        <v>4813</v>
      </c>
      <c r="E12" s="79" t="s">
        <v>386</v>
      </c>
      <c r="F12" s="80">
        <f>ROUND(1.2*2.4,2)</f>
        <v>2.88</v>
      </c>
      <c r="G12" s="81" t="s">
        <v>4</v>
      </c>
      <c r="H12" s="178">
        <v>225</v>
      </c>
      <c r="I12" s="92"/>
      <c r="J12" s="92">
        <f>ROUND(0.8*L12,2)</f>
        <v>210.24</v>
      </c>
      <c r="K12" s="92">
        <f>L12-J12</f>
        <v>52.56</v>
      </c>
      <c r="L12" s="178">
        <f>ROUND(IF(I12&gt;0,IF(C12="COMPOSIÇÃO",H12*($E$85+1),H12*($E$86+1)),IF(C12="COMPOSIÇÃO",H12*($E$85+1),H12*($E$86+1))),2)</f>
        <v>262.8</v>
      </c>
      <c r="M12" s="92">
        <f>ROUND(J12*F12,2)</f>
        <v>605.49</v>
      </c>
      <c r="N12" s="92">
        <f>O12-M12</f>
        <v>151.37</v>
      </c>
      <c r="O12" s="92">
        <f>ROUND(L12*F12,2)</f>
        <v>756.86</v>
      </c>
      <c r="P12" s="2"/>
      <c r="Q12" s="2"/>
      <c r="R12" s="2"/>
      <c r="S12" s="2"/>
      <c r="T12" s="2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25" s="10" customFormat="1" ht="20.25">
      <c r="A13" s="78" t="s">
        <v>68</v>
      </c>
      <c r="B13" s="78"/>
      <c r="C13" s="78" t="s">
        <v>374</v>
      </c>
      <c r="D13" s="175" t="s">
        <v>125</v>
      </c>
      <c r="E13" s="79" t="s">
        <v>90</v>
      </c>
      <c r="F13" s="80">
        <v>1</v>
      </c>
      <c r="G13" s="81" t="s">
        <v>20</v>
      </c>
      <c r="H13" s="92">
        <f>Composições!H19</f>
        <v>8186.74</v>
      </c>
      <c r="I13" s="92"/>
      <c r="J13" s="92">
        <f>ROUND(0.8*L13,2)</f>
        <v>7996.15</v>
      </c>
      <c r="K13" s="92">
        <f>L13-J13</f>
        <v>1999.0400000000009</v>
      </c>
      <c r="L13" s="178">
        <f>ROUND(IF(I13&gt;0,IF(C13="COMPOSIÇÃO",H13*($E$85+1),H13*($E$86+1)),IF(C13="COMPOSIÇÃO",H13*($E$85+1),H13*($E$86+1))),2)</f>
        <v>9995.19</v>
      </c>
      <c r="M13" s="92">
        <f>ROUND(J13*F13,2)</f>
        <v>7996.15</v>
      </c>
      <c r="N13" s="92">
        <f>O13-M13</f>
        <v>1999.0400000000009</v>
      </c>
      <c r="O13" s="92">
        <f>ROUND(L13*F13,2)</f>
        <v>9995.19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10" customFormat="1" ht="20.25">
      <c r="A14" s="78" t="s">
        <v>81</v>
      </c>
      <c r="B14" s="78"/>
      <c r="C14" s="78" t="s">
        <v>374</v>
      </c>
      <c r="D14" s="175" t="s">
        <v>126</v>
      </c>
      <c r="E14" s="79" t="s">
        <v>118</v>
      </c>
      <c r="F14" s="80">
        <v>4</v>
      </c>
      <c r="G14" s="81" t="s">
        <v>419</v>
      </c>
      <c r="H14" s="92">
        <f>Composições!H37</f>
        <v>17456.59</v>
      </c>
      <c r="I14" s="92"/>
      <c r="J14" s="92">
        <f>ROUND(0.8*L14,2)</f>
        <v>17050.2</v>
      </c>
      <c r="K14" s="92">
        <f>L14-J14</f>
        <v>4262.549999999999</v>
      </c>
      <c r="L14" s="178">
        <f>ROUND(IF(I14&gt;0,IF(C14="COMPOSIÇÃO",H14*($E$85+1),H14*($E$86+1)),IF(C14="COMPOSIÇÃO",H14*($E$85+1),H14*($E$86+1))),2)</f>
        <v>21312.75</v>
      </c>
      <c r="M14" s="92">
        <f>ROUND(J14*F14,2)</f>
        <v>68200.8</v>
      </c>
      <c r="N14" s="92">
        <f>O14-M14</f>
        <v>17050.199999999997</v>
      </c>
      <c r="O14" s="92">
        <f>ROUND(L14*F14,2)</f>
        <v>85251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10" customFormat="1" ht="20.25">
      <c r="A15" s="78" t="s">
        <v>82</v>
      </c>
      <c r="B15" s="78" t="s">
        <v>95</v>
      </c>
      <c r="C15" s="78" t="s">
        <v>374</v>
      </c>
      <c r="D15" s="175">
        <v>98525</v>
      </c>
      <c r="E15" s="79" t="s">
        <v>102</v>
      </c>
      <c r="F15" s="80">
        <f>ROUND((A5*1.5*2)+(E5*E6*1.5*2),2)</f>
        <v>3701.69</v>
      </c>
      <c r="G15" s="81" t="s">
        <v>4</v>
      </c>
      <c r="H15" s="178">
        <v>0.33</v>
      </c>
      <c r="I15" s="92"/>
      <c r="J15" s="92">
        <f>ROUND(0.8*L15,2)</f>
        <v>0.32</v>
      </c>
      <c r="K15" s="92">
        <f>L15-J15</f>
        <v>0.08000000000000002</v>
      </c>
      <c r="L15" s="178">
        <f>ROUND(IF(I15&gt;0,IF(C15="COMPOSIÇÃO",H15*($E$85+1),H15*($E$86+1)),IF(C15="COMPOSIÇÃO",H15*($E$85+1),H15*($E$86+1))),2)</f>
        <v>0.4</v>
      </c>
      <c r="M15" s="92">
        <f>ROUND(J15*F15,2)</f>
        <v>1184.54</v>
      </c>
      <c r="N15" s="92">
        <f>O15-M15</f>
        <v>296.1400000000001</v>
      </c>
      <c r="O15" s="92">
        <f>ROUND(L15*F15,2)</f>
        <v>1480.68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31" s="14" customFormat="1" ht="20.25">
      <c r="A16" s="95" t="s">
        <v>69</v>
      </c>
      <c r="B16" s="95"/>
      <c r="C16" s="95"/>
      <c r="D16" s="95"/>
      <c r="E16" s="95"/>
      <c r="F16" s="95"/>
      <c r="G16" s="95"/>
      <c r="H16" s="168"/>
      <c r="I16" s="95"/>
      <c r="J16" s="95"/>
      <c r="K16" s="95"/>
      <c r="L16" s="132">
        <f>O16/$O$78</f>
        <v>0.04656794058215466</v>
      </c>
      <c r="M16" s="96">
        <f>SUM(M12:M15)</f>
        <v>77986.98</v>
      </c>
      <c r="N16" s="96">
        <f>SUM(N12:N15)</f>
        <v>19496.749999999996</v>
      </c>
      <c r="O16" s="96">
        <f>SUM(O12:O15)</f>
        <v>97483.73</v>
      </c>
      <c r="P16" s="7"/>
      <c r="Q16" s="7"/>
      <c r="R16" s="7"/>
      <c r="S16" s="7"/>
      <c r="T16" s="7"/>
      <c r="U16" s="7"/>
      <c r="V16" s="8"/>
      <c r="W16" s="8"/>
      <c r="X16" s="7"/>
      <c r="Y16" s="7"/>
      <c r="Z16" s="7"/>
      <c r="AA16" s="7"/>
      <c r="AB16" s="7"/>
      <c r="AC16" s="7"/>
      <c r="AD16" s="7"/>
      <c r="AE16" s="7"/>
    </row>
    <row r="17" spans="1:31" s="15" customFormat="1" ht="20.25">
      <c r="A17" s="97">
        <v>2</v>
      </c>
      <c r="B17" s="98" t="s">
        <v>30</v>
      </c>
      <c r="C17" s="98"/>
      <c r="D17" s="98"/>
      <c r="E17" s="99"/>
      <c r="F17" s="99"/>
      <c r="G17" s="99"/>
      <c r="H17" s="169"/>
      <c r="I17" s="99"/>
      <c r="J17" s="99"/>
      <c r="K17" s="99"/>
      <c r="L17" s="99"/>
      <c r="M17" s="99"/>
      <c r="N17" s="99"/>
      <c r="O17" s="100"/>
      <c r="P17" s="7"/>
      <c r="Q17" s="7"/>
      <c r="R17" s="7"/>
      <c r="S17" s="7"/>
      <c r="T17" s="7"/>
      <c r="U17" s="7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s="15" customFormat="1" ht="20.25">
      <c r="A18" s="181" t="s">
        <v>10</v>
      </c>
      <c r="B18" s="180" t="s">
        <v>273</v>
      </c>
      <c r="C18" s="180"/>
      <c r="D18" s="98"/>
      <c r="E18" s="99"/>
      <c r="F18" s="99"/>
      <c r="G18" s="99"/>
      <c r="H18" s="169"/>
      <c r="I18" s="99"/>
      <c r="J18" s="99"/>
      <c r="K18" s="99"/>
      <c r="L18" s="99"/>
      <c r="M18" s="99"/>
      <c r="N18" s="99"/>
      <c r="O18" s="100"/>
      <c r="P18" s="7"/>
      <c r="Q18" s="7"/>
      <c r="R18" s="7"/>
      <c r="S18" s="7"/>
      <c r="T18" s="7"/>
      <c r="U18" s="7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15" ht="36">
      <c r="A19" s="78" t="s">
        <v>274</v>
      </c>
      <c r="B19" s="78" t="s">
        <v>95</v>
      </c>
      <c r="C19" s="78" t="s">
        <v>374</v>
      </c>
      <c r="D19" s="78">
        <v>101206</v>
      </c>
      <c r="E19" s="79" t="s">
        <v>376</v>
      </c>
      <c r="F19" s="80">
        <f>Volumes!J182</f>
        <v>626.2279249999999</v>
      </c>
      <c r="G19" s="81" t="s">
        <v>3</v>
      </c>
      <c r="H19" s="92">
        <v>9.05</v>
      </c>
      <c r="I19" s="92"/>
      <c r="J19" s="92">
        <f>ROUND(0.8*L19,2)</f>
        <v>8.84</v>
      </c>
      <c r="K19" s="92">
        <f>L19-J19</f>
        <v>2.210000000000001</v>
      </c>
      <c r="L19" s="92">
        <f>ROUND(IF(I19&gt;0,IF(C19="COMPOSIÇÃO",H19*($E$85+1),H19*($E$86+1)),IF(C19="COMPOSIÇÃO",H19*($E$85+1),H19*($E$86+1))),2)</f>
        <v>11.05</v>
      </c>
      <c r="M19" s="92">
        <f>ROUND(J19*F19,2)</f>
        <v>5535.85</v>
      </c>
      <c r="N19" s="92">
        <f>O19-M19</f>
        <v>1383.9699999999993</v>
      </c>
      <c r="O19" s="92">
        <f>ROUND(L19*F19,2)</f>
        <v>6919.82</v>
      </c>
    </row>
    <row r="20" spans="1:15" ht="36">
      <c r="A20" s="78" t="s">
        <v>275</v>
      </c>
      <c r="B20" s="78"/>
      <c r="C20" s="78" t="s">
        <v>374</v>
      </c>
      <c r="D20" s="78" t="s">
        <v>396</v>
      </c>
      <c r="E20" s="79" t="s">
        <v>430</v>
      </c>
      <c r="F20" s="80">
        <f>Volumes!H182</f>
        <v>234.949735</v>
      </c>
      <c r="G20" s="81" t="s">
        <v>3</v>
      </c>
      <c r="H20" s="92">
        <f>Composições!H47</f>
        <v>21.8</v>
      </c>
      <c r="I20" s="92"/>
      <c r="J20" s="92">
        <f>ROUND(0.8*L20,2)</f>
        <v>21.3</v>
      </c>
      <c r="K20" s="92">
        <f>L20-J20</f>
        <v>5.32</v>
      </c>
      <c r="L20" s="92">
        <f>ROUND(IF(I20&gt;0,IF(C20="COMPOSIÇÃO",H20*($E$85+1),H20*($E$86+1)),IF(C20="COMPOSIÇÃO",H20*($E$85+1),H20*($E$86+1))),2)</f>
        <v>26.62</v>
      </c>
      <c r="M20" s="92">
        <f>ROUND(J20*F20,2)</f>
        <v>5004.43</v>
      </c>
      <c r="N20" s="92">
        <f>O20-M20</f>
        <v>1249.9299999999994</v>
      </c>
      <c r="O20" s="92">
        <f>ROUND(L20*F20,2)</f>
        <v>6254.36</v>
      </c>
    </row>
    <row r="21" spans="1:15" ht="20.25">
      <c r="A21" s="78" t="s">
        <v>276</v>
      </c>
      <c r="B21" s="78" t="s">
        <v>99</v>
      </c>
      <c r="C21" s="78" t="s">
        <v>374</v>
      </c>
      <c r="D21" s="78">
        <v>5500991</v>
      </c>
      <c r="E21" s="79" t="s">
        <v>428</v>
      </c>
      <c r="F21" s="80">
        <f>Volumes!F182</f>
        <v>398.54694000000006</v>
      </c>
      <c r="G21" s="81" t="s">
        <v>3</v>
      </c>
      <c r="H21" s="92">
        <v>102.15</v>
      </c>
      <c r="I21" s="92"/>
      <c r="J21" s="92">
        <f>ROUND(0.8*L21,2)</f>
        <v>99.77</v>
      </c>
      <c r="K21" s="92">
        <f>L21-J21</f>
        <v>24.939999999999998</v>
      </c>
      <c r="L21" s="92">
        <f>ROUND(IF(I21&gt;0,IF(C21="COMPOSIÇÃO",H21*($E$85+1),H21*($E$86+1)),IF(C21="COMPOSIÇÃO",H21*($E$85+1),H21*($E$86+1))),2)</f>
        <v>124.71</v>
      </c>
      <c r="M21" s="92">
        <f>ROUND(J21*F21,2)</f>
        <v>39763.03</v>
      </c>
      <c r="N21" s="92">
        <f>O21-M21</f>
        <v>9939.760000000002</v>
      </c>
      <c r="O21" s="92">
        <f>ROUND(L21*F21,2)</f>
        <v>49702.79</v>
      </c>
    </row>
    <row r="22" spans="1:15" ht="20.25">
      <c r="A22" s="78" t="s">
        <v>277</v>
      </c>
      <c r="B22" s="78" t="s">
        <v>95</v>
      </c>
      <c r="C22" s="78" t="s">
        <v>374</v>
      </c>
      <c r="D22" s="174">
        <v>100574</v>
      </c>
      <c r="E22" s="102" t="s">
        <v>269</v>
      </c>
      <c r="F22" s="80">
        <f>ROUND((F19*1.3+F20*1.25+F21*1.5),2)</f>
        <v>1705.6</v>
      </c>
      <c r="G22" s="81" t="s">
        <v>3</v>
      </c>
      <c r="H22" s="92">
        <v>1.13</v>
      </c>
      <c r="I22" s="92"/>
      <c r="J22" s="92">
        <f>ROUND(0.8*L22,2)</f>
        <v>1.1</v>
      </c>
      <c r="K22" s="92">
        <f>L22-J22</f>
        <v>0.2799999999999998</v>
      </c>
      <c r="L22" s="92">
        <f>ROUND(IF(I22&gt;0,IF(C22="COMPOSIÇÃO",H22*($E$85+1),H22*($E$86+1)),IF(C22="COMPOSIÇÃO",H22*($E$85+1),H22*($E$86+1))),2)</f>
        <v>1.38</v>
      </c>
      <c r="M22" s="92">
        <f>ROUND(J22*F22,2)</f>
        <v>1876.16</v>
      </c>
      <c r="N22" s="92">
        <f>O22-M22</f>
        <v>477.56999999999994</v>
      </c>
      <c r="O22" s="92">
        <f>ROUND(L22*F22,2)</f>
        <v>2353.73</v>
      </c>
    </row>
    <row r="23" spans="1:15" ht="20.25">
      <c r="A23" s="78" t="s">
        <v>397</v>
      </c>
      <c r="B23" s="78" t="s">
        <v>95</v>
      </c>
      <c r="C23" s="78" t="s">
        <v>374</v>
      </c>
      <c r="D23" s="78">
        <v>93590</v>
      </c>
      <c r="E23" s="103" t="s">
        <v>258</v>
      </c>
      <c r="F23" s="80">
        <f>ROUND((F20*1.25+F21*1.5)*I23,2)</f>
        <v>3566.03</v>
      </c>
      <c r="G23" s="81" t="s">
        <v>268</v>
      </c>
      <c r="H23" s="92">
        <v>0.66</v>
      </c>
      <c r="I23" s="92">
        <v>4</v>
      </c>
      <c r="J23" s="92">
        <f>ROUND(0.8*L23,2)</f>
        <v>0.65</v>
      </c>
      <c r="K23" s="92">
        <f>L23-J23</f>
        <v>0.16000000000000003</v>
      </c>
      <c r="L23" s="92">
        <f>ROUND(IF(I23&gt;0,IF(C23="COMPOSIÇÃO",H23*($E$85+1),H23*($E$86+1)),IF(C23="COMPOSIÇÃO",H23*($E$85+1),H23*($E$86+1))),2)</f>
        <v>0.81</v>
      </c>
      <c r="M23" s="92">
        <f>ROUND(J23*F23,2)</f>
        <v>2317.92</v>
      </c>
      <c r="N23" s="92">
        <f>O23-M23</f>
        <v>570.56</v>
      </c>
      <c r="O23" s="92">
        <f>ROUND(L23*F23,2)</f>
        <v>2888.48</v>
      </c>
    </row>
    <row r="24" spans="1:15" ht="20.25">
      <c r="A24" s="181" t="s">
        <v>70</v>
      </c>
      <c r="B24" s="95" t="s">
        <v>278</v>
      </c>
      <c r="C24" s="95"/>
      <c r="D24" s="78"/>
      <c r="E24" s="103"/>
      <c r="F24" s="80"/>
      <c r="G24" s="81"/>
      <c r="H24" s="92"/>
      <c r="I24" s="92"/>
      <c r="J24" s="92"/>
      <c r="K24" s="92"/>
      <c r="L24" s="92"/>
      <c r="M24" s="92"/>
      <c r="N24" s="92"/>
      <c r="O24" s="92"/>
    </row>
    <row r="25" spans="1:15" ht="36">
      <c r="A25" s="78" t="s">
        <v>279</v>
      </c>
      <c r="B25" s="78" t="s">
        <v>95</v>
      </c>
      <c r="C25" s="78" t="s">
        <v>374</v>
      </c>
      <c r="D25" s="78">
        <v>101206</v>
      </c>
      <c r="E25" s="79" t="s">
        <v>376</v>
      </c>
      <c r="F25" s="80">
        <f>ROUND(A5*2.2*0.3*2,2)</f>
        <v>1620.26</v>
      </c>
      <c r="G25" s="81" t="s">
        <v>3</v>
      </c>
      <c r="H25" s="92">
        <v>9.05</v>
      </c>
      <c r="I25" s="92"/>
      <c r="J25" s="92">
        <f>ROUND(0.8*L25,2)</f>
        <v>8.84</v>
      </c>
      <c r="K25" s="92">
        <f>L25-J25</f>
        <v>2.210000000000001</v>
      </c>
      <c r="L25" s="92">
        <f>ROUND(IF(I25&gt;0,IF(C25="COMPOSIÇÃO",H25*($E$85+1),H25*($E$86+1)),IF(C25="COMPOSIÇÃO",H25*($E$85+1),H25*($E$86+1))),2)</f>
        <v>11.05</v>
      </c>
      <c r="M25" s="92">
        <f>ROUND(J25*F25,2)</f>
        <v>14323.1</v>
      </c>
      <c r="N25" s="92">
        <f>O25-M25</f>
        <v>3580.7699999999986</v>
      </c>
      <c r="O25" s="92">
        <f>ROUND(L25*F25,2)</f>
        <v>17903.87</v>
      </c>
    </row>
    <row r="26" spans="1:15" ht="20.25">
      <c r="A26" s="78" t="s">
        <v>280</v>
      </c>
      <c r="B26" s="78" t="s">
        <v>95</v>
      </c>
      <c r="C26" s="78" t="s">
        <v>374</v>
      </c>
      <c r="D26" s="101">
        <v>100574</v>
      </c>
      <c r="E26" s="102" t="s">
        <v>269</v>
      </c>
      <c r="F26" s="80">
        <f>ROUND(F25*1.3,2)</f>
        <v>2106.34</v>
      </c>
      <c r="G26" s="81" t="s">
        <v>3</v>
      </c>
      <c r="H26" s="92">
        <f>H22</f>
        <v>1.13</v>
      </c>
      <c r="I26" s="92"/>
      <c r="J26" s="92">
        <f>ROUND(0.8*L26,2)</f>
        <v>1.1</v>
      </c>
      <c r="K26" s="92">
        <f>L26-J26</f>
        <v>0.2799999999999998</v>
      </c>
      <c r="L26" s="92">
        <f>ROUND(IF(I26&gt;0,IF(C26="COMPOSIÇÃO",H26*($E$85+1),H26*($E$86+1)),IF(C26="COMPOSIÇÃO",H26*($E$85+1),H26*($E$86+1))),2)</f>
        <v>1.38</v>
      </c>
      <c r="M26" s="92">
        <f>ROUND(J26*F26,2)</f>
        <v>2316.97</v>
      </c>
      <c r="N26" s="92">
        <f>O26-M26</f>
        <v>589.7800000000002</v>
      </c>
      <c r="O26" s="92">
        <f>ROUND(L26*F26,2)</f>
        <v>2906.75</v>
      </c>
    </row>
    <row r="27" spans="1:15" ht="20.25">
      <c r="A27" s="78" t="s">
        <v>281</v>
      </c>
      <c r="B27" s="78" t="s">
        <v>95</v>
      </c>
      <c r="C27" s="78" t="s">
        <v>374</v>
      </c>
      <c r="D27" s="78">
        <v>93589</v>
      </c>
      <c r="E27" s="103" t="s">
        <v>258</v>
      </c>
      <c r="F27" s="80">
        <f>ROUND(F25*1.3*I27,2)</f>
        <v>8425.35</v>
      </c>
      <c r="G27" s="81" t="s">
        <v>268</v>
      </c>
      <c r="H27" s="92">
        <f>H23</f>
        <v>0.66</v>
      </c>
      <c r="I27" s="92">
        <f>I23</f>
        <v>4</v>
      </c>
      <c r="J27" s="92">
        <f>ROUND(0.8*L27,2)</f>
        <v>0.65</v>
      </c>
      <c r="K27" s="92">
        <f>L27-J27</f>
        <v>0.16000000000000003</v>
      </c>
      <c r="L27" s="92">
        <f>ROUND(IF(I27&gt;0,IF(C27="COMPOSIÇÃO",H27*($E$85+1),H27*($E$86+1)),IF(C27="COMPOSIÇÃO",H27*($E$85+1),H27*($E$86+1))),2)</f>
        <v>0.81</v>
      </c>
      <c r="M27" s="92">
        <f>ROUND(J27*F27,2)</f>
        <v>5476.48</v>
      </c>
      <c r="N27" s="92">
        <f>O27-M27</f>
        <v>1348.0500000000002</v>
      </c>
      <c r="O27" s="92">
        <f>ROUND(L27*F27,2)</f>
        <v>6824.53</v>
      </c>
    </row>
    <row r="28" spans="1:15" ht="36">
      <c r="A28" s="78" t="s">
        <v>282</v>
      </c>
      <c r="B28" s="78" t="s">
        <v>95</v>
      </c>
      <c r="C28" s="78" t="s">
        <v>374</v>
      </c>
      <c r="D28" s="176">
        <v>96399</v>
      </c>
      <c r="E28" s="177" t="s">
        <v>263</v>
      </c>
      <c r="F28" s="80">
        <f>F25</f>
        <v>1620.26</v>
      </c>
      <c r="G28" s="81" t="s">
        <v>3</v>
      </c>
      <c r="H28" s="92">
        <v>68.01</v>
      </c>
      <c r="I28" s="92"/>
      <c r="J28" s="92">
        <f>ROUND(0.8*L28,2)</f>
        <v>66.42</v>
      </c>
      <c r="K28" s="92">
        <f>L28-J28</f>
        <v>16.61</v>
      </c>
      <c r="L28" s="178">
        <f>ROUND(IF(I28&gt;0,IF(C28="COMPOSIÇÃO",H28*($E$85+1),H28*($E$86+1)),IF(C28="COMPOSIÇÃO",H28*($E$85+1),H28*($E$86+1))),2)</f>
        <v>83.03</v>
      </c>
      <c r="M28" s="92">
        <f>ROUND(J28*F28,2)</f>
        <v>107617.67</v>
      </c>
      <c r="N28" s="92">
        <f>O28-M28</f>
        <v>26912.520000000004</v>
      </c>
      <c r="O28" s="92">
        <f>ROUND(L28*F28,2)</f>
        <v>134530.19</v>
      </c>
    </row>
    <row r="29" spans="1:15" ht="20.25">
      <c r="A29" s="78" t="s">
        <v>283</v>
      </c>
      <c r="B29" s="78" t="s">
        <v>95</v>
      </c>
      <c r="C29" s="78" t="s">
        <v>374</v>
      </c>
      <c r="D29" s="78">
        <v>93590</v>
      </c>
      <c r="E29" s="177" t="s">
        <v>261</v>
      </c>
      <c r="F29" s="80">
        <f>ROUND(F28*I29,2)</f>
        <v>119089.11</v>
      </c>
      <c r="G29" s="81" t="s">
        <v>268</v>
      </c>
      <c r="H29" s="92">
        <f>H23</f>
        <v>0.66</v>
      </c>
      <c r="I29" s="92">
        <v>73.5</v>
      </c>
      <c r="J29" s="92">
        <f>ROUND(0.8*L29,2)</f>
        <v>0.65</v>
      </c>
      <c r="K29" s="92">
        <f>L29-J29</f>
        <v>0.16000000000000003</v>
      </c>
      <c r="L29" s="178">
        <f>ROUND(IF(I29&gt;0,IF(C29="COMPOSIÇÃO",H29*($E$85+1),H29*($E$86+1)),IF(C29="COMPOSIÇÃO",H29*($E$85+1),H29*($E$86+1))),2)</f>
        <v>0.81</v>
      </c>
      <c r="M29" s="92">
        <f>ROUND(J29*F29,2)</f>
        <v>77407.92</v>
      </c>
      <c r="N29" s="92">
        <f>O29-M29</f>
        <v>19054.259999999995</v>
      </c>
      <c r="O29" s="92">
        <f>ROUND(L29*F29,2)</f>
        <v>96462.18</v>
      </c>
    </row>
    <row r="30" spans="1:15" ht="20.25">
      <c r="A30" s="181" t="s">
        <v>71</v>
      </c>
      <c r="B30" s="180" t="s">
        <v>284</v>
      </c>
      <c r="C30" s="180"/>
      <c r="D30" s="78"/>
      <c r="E30" s="79"/>
      <c r="F30" s="80"/>
      <c r="G30" s="81"/>
      <c r="H30" s="92"/>
      <c r="I30" s="92"/>
      <c r="J30" s="92"/>
      <c r="K30" s="92"/>
      <c r="L30" s="92"/>
      <c r="M30" s="92"/>
      <c r="N30" s="92"/>
      <c r="O30" s="92"/>
    </row>
    <row r="31" spans="1:15" ht="36">
      <c r="A31" s="78" t="s">
        <v>286</v>
      </c>
      <c r="B31" s="175" t="s">
        <v>95</v>
      </c>
      <c r="C31" s="175" t="s">
        <v>374</v>
      </c>
      <c r="D31" s="175">
        <v>94304</v>
      </c>
      <c r="E31" s="177" t="s">
        <v>262</v>
      </c>
      <c r="F31" s="80">
        <f>Volumes!L182</f>
        <v>1414.3507000000002</v>
      </c>
      <c r="G31" s="81" t="s">
        <v>3</v>
      </c>
      <c r="H31" s="178">
        <v>29.62</v>
      </c>
      <c r="I31" s="92"/>
      <c r="J31" s="92">
        <f>ROUND(0.8*L31,2)</f>
        <v>28.93</v>
      </c>
      <c r="K31" s="92">
        <f>L31-J31</f>
        <v>7.229999999999997</v>
      </c>
      <c r="L31" s="178">
        <f>ROUND(IF(I31&gt;0,IF(C31="COMPOSIÇÃO",H31*($E$85+1),H31*($E$86+1)),IF(C31="COMPOSIÇÃO",H31*($E$85+1),H31*($E$86+1))),2)</f>
        <v>36.16</v>
      </c>
      <c r="M31" s="92">
        <f>ROUND(J31*F31,2)</f>
        <v>40917.17</v>
      </c>
      <c r="N31" s="92">
        <f>O31-M31</f>
        <v>10225.75</v>
      </c>
      <c r="O31" s="92">
        <f>ROUND(L31*F31,2)</f>
        <v>51142.92</v>
      </c>
    </row>
    <row r="32" spans="1:15" ht="36">
      <c r="A32" s="78" t="s">
        <v>287</v>
      </c>
      <c r="B32" s="175" t="s">
        <v>95</v>
      </c>
      <c r="C32" s="175" t="s">
        <v>374</v>
      </c>
      <c r="D32" s="175">
        <f>D23</f>
        <v>93590</v>
      </c>
      <c r="E32" s="182" t="s">
        <v>285</v>
      </c>
      <c r="F32" s="80">
        <f>ROUND(F31*1.3*I32,2)</f>
        <v>7354.62</v>
      </c>
      <c r="G32" s="81" t="s">
        <v>268</v>
      </c>
      <c r="H32" s="178">
        <f>H23</f>
        <v>0.66</v>
      </c>
      <c r="I32" s="92">
        <f>I23</f>
        <v>4</v>
      </c>
      <c r="J32" s="92">
        <f>ROUND(0.8*L32,2)</f>
        <v>0.65</v>
      </c>
      <c r="K32" s="92">
        <f>L32-J32</f>
        <v>0.16000000000000003</v>
      </c>
      <c r="L32" s="178">
        <f>ROUND(IF(I32&gt;0,IF(C32="COMPOSIÇÃO",H32*($E$85+1),H32*($E$86+1)),IF(C32="COMPOSIÇÃO",H32*($E$85+1),H32*($E$86+1))),2)</f>
        <v>0.81</v>
      </c>
      <c r="M32" s="92">
        <f>ROUND(J32*F32,2)</f>
        <v>4780.5</v>
      </c>
      <c r="N32" s="92">
        <f>O32-M32</f>
        <v>1176.7399999999998</v>
      </c>
      <c r="O32" s="92">
        <f>ROUND(L32*F32,2)</f>
        <v>5957.24</v>
      </c>
    </row>
    <row r="33" spans="1:31" s="14" customFormat="1" ht="20.25">
      <c r="A33" s="95" t="s">
        <v>69</v>
      </c>
      <c r="B33" s="95"/>
      <c r="C33" s="95"/>
      <c r="D33" s="95"/>
      <c r="E33" s="95"/>
      <c r="F33" s="95"/>
      <c r="G33" s="95"/>
      <c r="H33" s="168"/>
      <c r="I33" s="95"/>
      <c r="J33" s="95"/>
      <c r="K33" s="95"/>
      <c r="L33" s="132">
        <f>O33/$O$78</f>
        <v>0.18336349839226135</v>
      </c>
      <c r="M33" s="96">
        <f>SUM(M19:M32)</f>
        <v>307337.19999999995</v>
      </c>
      <c r="N33" s="96">
        <f>SUM(N19:N32)</f>
        <v>76509.66</v>
      </c>
      <c r="O33" s="96">
        <f>SUM(O19:O32)</f>
        <v>383846.86</v>
      </c>
      <c r="P33" s="7"/>
      <c r="Q33" s="7"/>
      <c r="R33" s="7"/>
      <c r="S33" s="7"/>
      <c r="T33" s="7"/>
      <c r="U33" s="7"/>
      <c r="V33" s="8"/>
      <c r="W33" s="8"/>
      <c r="X33" s="7"/>
      <c r="Y33" s="7"/>
      <c r="Z33" s="7"/>
      <c r="AA33" s="7"/>
      <c r="AB33" s="7"/>
      <c r="AC33" s="7"/>
      <c r="AD33" s="7"/>
      <c r="AE33" s="7"/>
    </row>
    <row r="34" spans="1:31" s="15" customFormat="1" ht="20.25">
      <c r="A34" s="97">
        <v>3</v>
      </c>
      <c r="B34" s="98" t="s">
        <v>5</v>
      </c>
      <c r="C34" s="98"/>
      <c r="D34" s="98"/>
      <c r="E34" s="99"/>
      <c r="F34" s="99"/>
      <c r="G34" s="99"/>
      <c r="H34" s="169"/>
      <c r="I34" s="99"/>
      <c r="J34" s="99"/>
      <c r="K34" s="99"/>
      <c r="L34" s="99"/>
      <c r="M34" s="99"/>
      <c r="N34" s="99"/>
      <c r="O34" s="100"/>
      <c r="P34" s="7"/>
      <c r="Q34" s="7"/>
      <c r="R34" s="7"/>
      <c r="S34" s="7"/>
      <c r="T34" s="7"/>
      <c r="U34" s="7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15" ht="20.25">
      <c r="A35" s="78" t="s">
        <v>11</v>
      </c>
      <c r="B35" s="175" t="s">
        <v>95</v>
      </c>
      <c r="C35" s="175" t="s">
        <v>374</v>
      </c>
      <c r="D35" s="101" t="s">
        <v>270</v>
      </c>
      <c r="E35" s="242" t="s">
        <v>94</v>
      </c>
      <c r="F35" s="80">
        <f>ROUND((A5*Larguras!C28)+(E5*E6*Larguras!C28),2)</f>
        <v>10549.83</v>
      </c>
      <c r="G35" s="81" t="s">
        <v>4</v>
      </c>
      <c r="H35" s="178">
        <v>1.74</v>
      </c>
      <c r="I35" s="92"/>
      <c r="J35" s="92">
        <f aca="true" t="shared" si="0" ref="J35:J43">ROUND(0.8*L35,2)</f>
        <v>1.7</v>
      </c>
      <c r="K35" s="92">
        <f aca="true" t="shared" si="1" ref="K35:K43">L35-J35</f>
        <v>0.42000000000000015</v>
      </c>
      <c r="L35" s="178">
        <f aca="true" t="shared" si="2" ref="L35:L43">ROUND(IF(I35&gt;0,IF(C35="COMPOSIÇÃO",H35*($E$85+1),H35*($E$86+1)),IF(C35="COMPOSIÇÃO",H35*($E$85+1),H35*($E$86+1))),2)</f>
        <v>2.12</v>
      </c>
      <c r="M35" s="92">
        <f aca="true" t="shared" si="3" ref="M35:M43">ROUND(J35*F35,2)</f>
        <v>17934.71</v>
      </c>
      <c r="N35" s="92">
        <f aca="true" t="shared" si="4" ref="N35:N43">O35-M35</f>
        <v>4430.93</v>
      </c>
      <c r="O35" s="92">
        <f aca="true" t="shared" si="5" ref="O35:O43">ROUND(L35*F35,2)</f>
        <v>22365.64</v>
      </c>
    </row>
    <row r="36" spans="1:15" ht="36">
      <c r="A36" s="78" t="s">
        <v>12</v>
      </c>
      <c r="B36" s="175"/>
      <c r="C36" s="175" t="s">
        <v>374</v>
      </c>
      <c r="D36" s="175" t="s">
        <v>407</v>
      </c>
      <c r="E36" s="242" t="s">
        <v>473</v>
      </c>
      <c r="F36" s="80">
        <f>ROUND((A5*Larguras!C29*Larguras!C20)+(E5*E6*Larguras!C29*Larguras!C20),2)</f>
        <v>2035.93</v>
      </c>
      <c r="G36" s="81" t="s">
        <v>3</v>
      </c>
      <c r="H36" s="178">
        <v>70.61999999999999</v>
      </c>
      <c r="I36" s="92"/>
      <c r="J36" s="92">
        <f t="shared" si="0"/>
        <v>68.98</v>
      </c>
      <c r="K36" s="92">
        <f t="shared" si="1"/>
        <v>17.239999999999995</v>
      </c>
      <c r="L36" s="178">
        <f t="shared" si="2"/>
        <v>86.22</v>
      </c>
      <c r="M36" s="92">
        <f t="shared" si="3"/>
        <v>140438.45</v>
      </c>
      <c r="N36" s="92">
        <f t="shared" si="4"/>
        <v>35099.42999999999</v>
      </c>
      <c r="O36" s="92">
        <f t="shared" si="5"/>
        <v>175537.88</v>
      </c>
    </row>
    <row r="37" spans="1:15" ht="20.25">
      <c r="A37" s="78" t="s">
        <v>13</v>
      </c>
      <c r="B37" s="175" t="s">
        <v>95</v>
      </c>
      <c r="C37" s="175" t="s">
        <v>374</v>
      </c>
      <c r="D37" s="175">
        <v>96396</v>
      </c>
      <c r="E37" s="177" t="s">
        <v>264</v>
      </c>
      <c r="F37" s="80">
        <f>ROUND((A5*Larguras!C31*Larguras!C21)+(E5*E6*Larguras!C31*Larguras!C21),2)</f>
        <v>1430.7</v>
      </c>
      <c r="G37" s="81" t="s">
        <v>3</v>
      </c>
      <c r="H37" s="178">
        <v>98.23</v>
      </c>
      <c r="I37" s="92"/>
      <c r="J37" s="92">
        <f t="shared" si="0"/>
        <v>95.94</v>
      </c>
      <c r="K37" s="92">
        <f t="shared" si="1"/>
        <v>23.99000000000001</v>
      </c>
      <c r="L37" s="178">
        <f t="shared" si="2"/>
        <v>119.93</v>
      </c>
      <c r="M37" s="92">
        <f t="shared" si="3"/>
        <v>137261.36</v>
      </c>
      <c r="N37" s="92">
        <f t="shared" si="4"/>
        <v>34322.49000000002</v>
      </c>
      <c r="O37" s="92">
        <f t="shared" si="5"/>
        <v>171583.85</v>
      </c>
    </row>
    <row r="38" spans="1:15" ht="20.25">
      <c r="A38" s="78" t="s">
        <v>14</v>
      </c>
      <c r="B38" s="175" t="s">
        <v>95</v>
      </c>
      <c r="C38" s="175" t="s">
        <v>374</v>
      </c>
      <c r="D38" s="175">
        <f>D23</f>
        <v>93590</v>
      </c>
      <c r="E38" s="177" t="s">
        <v>259</v>
      </c>
      <c r="F38" s="80">
        <f>ROUND((F37+F36)*I38,2)</f>
        <v>254797.31</v>
      </c>
      <c r="G38" s="81" t="s">
        <v>268</v>
      </c>
      <c r="H38" s="178">
        <f>H32</f>
        <v>0.66</v>
      </c>
      <c r="I38" s="92">
        <f>I29</f>
        <v>73.5</v>
      </c>
      <c r="J38" s="92">
        <f t="shared" si="0"/>
        <v>0.65</v>
      </c>
      <c r="K38" s="92">
        <f t="shared" si="1"/>
        <v>0.16000000000000003</v>
      </c>
      <c r="L38" s="178">
        <f t="shared" si="2"/>
        <v>0.81</v>
      </c>
      <c r="M38" s="92">
        <f t="shared" si="3"/>
        <v>165618.25</v>
      </c>
      <c r="N38" s="92">
        <f t="shared" si="4"/>
        <v>40767.57000000001</v>
      </c>
      <c r="O38" s="92">
        <f t="shared" si="5"/>
        <v>206385.82</v>
      </c>
    </row>
    <row r="39" spans="1:15" ht="36">
      <c r="A39" s="78" t="s">
        <v>15</v>
      </c>
      <c r="B39" s="78"/>
      <c r="C39" s="78" t="s">
        <v>374</v>
      </c>
      <c r="D39" s="81" t="str">
        <f>Composições!A66</f>
        <v>CP5</v>
      </c>
      <c r="E39" s="79" t="str">
        <f>Composições!B66</f>
        <v>EXECUÇÃO DE IMPRIMAÇÃO DE BASE DE BRITA GRADUADA COM MATERIAL ASFÁLTICO</v>
      </c>
      <c r="F39" s="80">
        <f>ROUND((A5*Larguras!C32)+(E5*E6*Larguras!C32),2)</f>
        <v>9254.24</v>
      </c>
      <c r="G39" s="81" t="s">
        <v>4</v>
      </c>
      <c r="H39" s="92">
        <f>Composições!H77</f>
        <v>6.77</v>
      </c>
      <c r="I39" s="92"/>
      <c r="J39" s="92">
        <f t="shared" si="0"/>
        <v>6.62</v>
      </c>
      <c r="K39" s="92">
        <f t="shared" si="1"/>
        <v>1.6499999999999995</v>
      </c>
      <c r="L39" s="92">
        <f t="shared" si="2"/>
        <v>8.27</v>
      </c>
      <c r="M39" s="92">
        <f t="shared" si="3"/>
        <v>61263.07</v>
      </c>
      <c r="N39" s="92">
        <f t="shared" si="4"/>
        <v>15269.489999999998</v>
      </c>
      <c r="O39" s="92">
        <f t="shared" si="5"/>
        <v>76532.56</v>
      </c>
    </row>
    <row r="40" spans="1:15" ht="20.25">
      <c r="A40" s="78" t="s">
        <v>16</v>
      </c>
      <c r="B40" s="175" t="s">
        <v>95</v>
      </c>
      <c r="C40" s="175" t="s">
        <v>374</v>
      </c>
      <c r="D40" s="175">
        <v>96402</v>
      </c>
      <c r="E40" s="177" t="s">
        <v>101</v>
      </c>
      <c r="F40" s="80">
        <f>B8</f>
        <v>8637.29</v>
      </c>
      <c r="G40" s="81" t="s">
        <v>4</v>
      </c>
      <c r="H40" s="178">
        <v>2.08</v>
      </c>
      <c r="I40" s="92"/>
      <c r="J40" s="92">
        <f t="shared" si="0"/>
        <v>2.03</v>
      </c>
      <c r="K40" s="92">
        <f t="shared" si="1"/>
        <v>0.5100000000000002</v>
      </c>
      <c r="L40" s="178">
        <f t="shared" si="2"/>
        <v>2.54</v>
      </c>
      <c r="M40" s="92">
        <f t="shared" si="3"/>
        <v>17533.7</v>
      </c>
      <c r="N40" s="92">
        <f t="shared" si="4"/>
        <v>4405.02</v>
      </c>
      <c r="O40" s="92">
        <f t="shared" si="5"/>
        <v>21938.72</v>
      </c>
    </row>
    <row r="41" spans="1:15" ht="36">
      <c r="A41" s="78" t="s">
        <v>17</v>
      </c>
      <c r="B41" s="175" t="s">
        <v>95</v>
      </c>
      <c r="C41" s="175" t="s">
        <v>374</v>
      </c>
      <c r="D41" s="78">
        <v>102332</v>
      </c>
      <c r="E41" s="177" t="s">
        <v>294</v>
      </c>
      <c r="F41" s="80">
        <f>ROUND(((F39*1.2/1000)+(F40*0.6/1000)+(F42*2.5*0.06))*I41,2)</f>
        <v>7701.31</v>
      </c>
      <c r="G41" s="81" t="s">
        <v>295</v>
      </c>
      <c r="H41" s="178">
        <v>1.34</v>
      </c>
      <c r="I41" s="92">
        <v>95</v>
      </c>
      <c r="J41" s="92">
        <f t="shared" si="0"/>
        <v>1.31</v>
      </c>
      <c r="K41" s="92">
        <f t="shared" si="1"/>
        <v>0.32999999999999985</v>
      </c>
      <c r="L41" s="178">
        <f t="shared" si="2"/>
        <v>1.64</v>
      </c>
      <c r="M41" s="92">
        <f t="shared" si="3"/>
        <v>10088.72</v>
      </c>
      <c r="N41" s="92">
        <f t="shared" si="4"/>
        <v>2541.4300000000003</v>
      </c>
      <c r="O41" s="92">
        <f t="shared" si="5"/>
        <v>12630.15</v>
      </c>
    </row>
    <row r="42" spans="1:15" ht="36">
      <c r="A42" s="78" t="s">
        <v>21</v>
      </c>
      <c r="B42" s="175" t="s">
        <v>95</v>
      </c>
      <c r="C42" s="175" t="s">
        <v>374</v>
      </c>
      <c r="D42" s="175">
        <v>95995</v>
      </c>
      <c r="E42" s="104" t="s">
        <v>249</v>
      </c>
      <c r="F42" s="80">
        <f>ROUND(F40*Larguras!C22,2)</f>
        <v>431.86</v>
      </c>
      <c r="G42" s="81" t="s">
        <v>3</v>
      </c>
      <c r="H42" s="178">
        <v>1348.7</v>
      </c>
      <c r="I42" s="92"/>
      <c r="J42" s="92">
        <f t="shared" si="0"/>
        <v>1317.3</v>
      </c>
      <c r="K42" s="92">
        <f t="shared" si="1"/>
        <v>329.33000000000015</v>
      </c>
      <c r="L42" s="178">
        <f t="shared" si="2"/>
        <v>1646.63</v>
      </c>
      <c r="M42" s="92">
        <f t="shared" si="3"/>
        <v>568889.18</v>
      </c>
      <c r="N42" s="92">
        <f t="shared" si="4"/>
        <v>142224.44999999995</v>
      </c>
      <c r="O42" s="92">
        <f t="shared" si="5"/>
        <v>711113.63</v>
      </c>
    </row>
    <row r="43" spans="1:15" ht="20.25">
      <c r="A43" s="78" t="s">
        <v>22</v>
      </c>
      <c r="B43" s="175" t="s">
        <v>95</v>
      </c>
      <c r="C43" s="175" t="s">
        <v>374</v>
      </c>
      <c r="D43" s="175">
        <v>93590</v>
      </c>
      <c r="E43" s="177" t="s">
        <v>293</v>
      </c>
      <c r="F43" s="80">
        <f>ROUND(F42*I43,2)</f>
        <v>31741.71</v>
      </c>
      <c r="G43" s="81" t="s">
        <v>3</v>
      </c>
      <c r="H43" s="178">
        <f>H32</f>
        <v>0.66</v>
      </c>
      <c r="I43" s="92">
        <f>I38</f>
        <v>73.5</v>
      </c>
      <c r="J43" s="92">
        <f t="shared" si="0"/>
        <v>0.65</v>
      </c>
      <c r="K43" s="92">
        <f t="shared" si="1"/>
        <v>0.16000000000000003</v>
      </c>
      <c r="L43" s="178">
        <f t="shared" si="2"/>
        <v>0.81</v>
      </c>
      <c r="M43" s="92">
        <f t="shared" si="3"/>
        <v>20632.11</v>
      </c>
      <c r="N43" s="92">
        <f t="shared" si="4"/>
        <v>5078.68</v>
      </c>
      <c r="O43" s="92">
        <f t="shared" si="5"/>
        <v>25710.79</v>
      </c>
    </row>
    <row r="44" spans="1:31" s="14" customFormat="1" ht="20.25">
      <c r="A44" s="95" t="s">
        <v>69</v>
      </c>
      <c r="B44" s="95"/>
      <c r="C44" s="95"/>
      <c r="D44" s="95"/>
      <c r="E44" s="95"/>
      <c r="F44" s="95"/>
      <c r="G44" s="95"/>
      <c r="H44" s="178"/>
      <c r="I44" s="95"/>
      <c r="J44" s="95"/>
      <c r="K44" s="95"/>
      <c r="L44" s="132">
        <f>O44/$O$78</f>
        <v>0.6801482575158835</v>
      </c>
      <c r="M44" s="96">
        <f>SUM(M35:M43)</f>
        <v>1139659.55</v>
      </c>
      <c r="N44" s="96">
        <f>SUM(N35:N43)</f>
        <v>284139.48999999993</v>
      </c>
      <c r="O44" s="96">
        <f>SUM(O35:O43)</f>
        <v>1423799.04</v>
      </c>
      <c r="P44" s="7"/>
      <c r="Q44" s="7"/>
      <c r="R44" s="7"/>
      <c r="S44" s="7"/>
      <c r="T44" s="7"/>
      <c r="U44" s="7"/>
      <c r="V44" s="8"/>
      <c r="W44" s="8"/>
      <c r="X44" s="7"/>
      <c r="Y44" s="7"/>
      <c r="Z44" s="7"/>
      <c r="AA44" s="7"/>
      <c r="AB44" s="7"/>
      <c r="AC44" s="7"/>
      <c r="AD44" s="7"/>
      <c r="AE44" s="7"/>
    </row>
    <row r="45" spans="1:31" s="15" customFormat="1" ht="20.25">
      <c r="A45" s="97">
        <v>4</v>
      </c>
      <c r="B45" s="98" t="s">
        <v>39</v>
      </c>
      <c r="C45" s="98"/>
      <c r="D45" s="98"/>
      <c r="E45" s="99"/>
      <c r="F45" s="99"/>
      <c r="G45" s="99"/>
      <c r="H45" s="169"/>
      <c r="I45" s="99"/>
      <c r="J45" s="99"/>
      <c r="K45" s="99"/>
      <c r="L45" s="99"/>
      <c r="M45" s="99"/>
      <c r="N45" s="99"/>
      <c r="O45" s="100"/>
      <c r="P45" s="7"/>
      <c r="Q45" s="7"/>
      <c r="R45" s="7"/>
      <c r="S45" s="7"/>
      <c r="T45" s="7"/>
      <c r="U45" s="7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15" ht="20.25">
      <c r="A46" s="407" t="s">
        <v>18</v>
      </c>
      <c r="B46" s="407" t="s">
        <v>95</v>
      </c>
      <c r="C46" s="175" t="s">
        <v>374</v>
      </c>
      <c r="D46" s="407">
        <v>90082</v>
      </c>
      <c r="E46" s="408" t="s">
        <v>464</v>
      </c>
      <c r="F46" s="409">
        <f>(SUMIF(Drenagem!$E$4:$E$50,"=400",Drenagem!$F$4:$F$50)*Drenagem!$S$3)+(SUMIF(Drenagem!$E$4:$E$50,"=600",Drenagem!$F$4:$F$50)*Drenagem!$S$4)+(SUMIF(Drenagem!$E$4:$E$50,"=800",Drenagem!$F$4:$F$50)*Drenagem!$S$5)+(SUMIF(Drenagem!$E$4:$E$50,"=1000",Drenagem!$F$4:$F$50)*Drenagem!$S$6)+(SUMIF(Drenagem!$E$4:$E$50,"=1200",Drenagem!$F$4:$F$50)*Drenagem!$S$7)</f>
        <v>498.27400000000006</v>
      </c>
      <c r="G46" s="410" t="s">
        <v>3</v>
      </c>
      <c r="H46" s="411">
        <v>9.04</v>
      </c>
      <c r="I46" s="92"/>
      <c r="J46" s="92">
        <f aca="true" t="shared" si="6" ref="J46:J51">ROUND(0.8*L46,2)</f>
        <v>8.83</v>
      </c>
      <c r="K46" s="92">
        <f aca="true" t="shared" si="7" ref="K46:K51">L46-J46</f>
        <v>2.209999999999999</v>
      </c>
      <c r="L46" s="178">
        <f aca="true" t="shared" si="8" ref="L46:L67">ROUND(IF(I46&gt;0,IF(C46="COMPOSIÇÃO",H46*($E$85+1),H46*($E$86+1)),IF(C46="COMPOSIÇÃO",H46*($E$85+1),H46*($E$86+1))),2)</f>
        <v>11.04</v>
      </c>
      <c r="M46" s="92">
        <f aca="true" t="shared" si="9" ref="M46:M51">ROUND(J46*F46,2)</f>
        <v>4399.76</v>
      </c>
      <c r="N46" s="92">
        <f aca="true" t="shared" si="10" ref="N46:N51">O46-M46</f>
        <v>1101.1799999999994</v>
      </c>
      <c r="O46" s="92">
        <f aca="true" t="shared" si="11" ref="O46:O51">ROUND(L46*F46,2)</f>
        <v>5500.94</v>
      </c>
    </row>
    <row r="47" spans="1:15" ht="36">
      <c r="A47" s="175" t="s">
        <v>19</v>
      </c>
      <c r="B47" s="175" t="s">
        <v>95</v>
      </c>
      <c r="C47" s="175" t="s">
        <v>374</v>
      </c>
      <c r="D47" s="175">
        <v>93589</v>
      </c>
      <c r="E47" s="182" t="s">
        <v>285</v>
      </c>
      <c r="F47" s="80">
        <f>ROUND(F48*I47,2)</f>
        <v>960.15</v>
      </c>
      <c r="G47" s="384" t="s">
        <v>268</v>
      </c>
      <c r="H47" s="178">
        <v>1.81</v>
      </c>
      <c r="I47" s="92">
        <v>4</v>
      </c>
      <c r="J47" s="92">
        <f t="shared" si="6"/>
        <v>1.77</v>
      </c>
      <c r="K47" s="92">
        <f t="shared" si="7"/>
        <v>0.43999999999999995</v>
      </c>
      <c r="L47" s="178">
        <f t="shared" si="8"/>
        <v>2.21</v>
      </c>
      <c r="M47" s="92">
        <f t="shared" si="9"/>
        <v>1699.47</v>
      </c>
      <c r="N47" s="92">
        <f t="shared" si="10"/>
        <v>422.4599999999998</v>
      </c>
      <c r="O47" s="92">
        <f t="shared" si="11"/>
        <v>2121.93</v>
      </c>
    </row>
    <row r="48" spans="1:15" ht="20.25">
      <c r="A48" s="407" t="s">
        <v>31</v>
      </c>
      <c r="B48" s="175" t="s">
        <v>95</v>
      </c>
      <c r="C48" s="175" t="s">
        <v>374</v>
      </c>
      <c r="D48" s="101" t="s">
        <v>465</v>
      </c>
      <c r="E48" s="242" t="s">
        <v>466</v>
      </c>
      <c r="F48" s="80">
        <f>(SUMIF(Drenagem!$E$4:$E$50,"=400",Drenagem!$F$4:$F$50)*Drenagem!$T$3)+(Drenagem!Q3*0.3*SUMIF(Drenagem!$E$4:$E$50,"=400",Drenagem!$F$4:$F$50)+(SUMIF(Drenagem!$E$4:$E$50,"=600",Drenagem!$F$4:$F$50)*Drenagem!$T$4)+(Drenagem!Q4*0.3*SUMIF(Drenagem!$E$4:$E$50,"=600",Drenagem!$F$4:$F$50)+(SUMIF(Drenagem!$E$4:$E$50,"=800",Drenagem!$F$4:$F$50)*Drenagem!$T$5)*(Drenagem!Q5*0.3*SUMIF(Drenagem!$E$4:$E$50,"=800",Drenagem!$F$4:$F$50)+(SUMIF(Drenagem!$E$4:$E$50,"=1000",Drenagem!$F$4:$F$50)*Drenagem!$T$6)+(Drenagem!Q6*0.3*SUMIF(Drenagem!$E$4:$E$50,"=1000",Drenagem!$F$4:$F$50)+(SUMIF(Drenagem!$E$4:$E$50,"=1200",Drenagem!$F$4:$F$50)*Drenagem!$T$7)+(Drenagem!Q7*0.3*SUMIF(Drenagem!$E$4:$E$50,"=1200",Drenagem!$F$4:$F$50))))))</f>
        <v>240.03857111139214</v>
      </c>
      <c r="G48" s="384" t="s">
        <v>3</v>
      </c>
      <c r="H48" s="92">
        <f>H22</f>
        <v>1.13</v>
      </c>
      <c r="I48" s="92"/>
      <c r="J48" s="92">
        <f t="shared" si="6"/>
        <v>1.1</v>
      </c>
      <c r="K48" s="92">
        <f t="shared" si="7"/>
        <v>0.2799999999999998</v>
      </c>
      <c r="L48" s="178">
        <f t="shared" si="8"/>
        <v>1.38</v>
      </c>
      <c r="M48" s="92">
        <f t="shared" si="9"/>
        <v>264.04</v>
      </c>
      <c r="N48" s="92">
        <f t="shared" si="10"/>
        <v>67.20999999999998</v>
      </c>
      <c r="O48" s="92">
        <f t="shared" si="11"/>
        <v>331.25</v>
      </c>
    </row>
    <row r="49" spans="1:15" ht="20.25">
      <c r="A49" s="175" t="s">
        <v>32</v>
      </c>
      <c r="B49" s="175" t="s">
        <v>95</v>
      </c>
      <c r="C49" s="175" t="s">
        <v>374</v>
      </c>
      <c r="D49" s="175">
        <v>93360</v>
      </c>
      <c r="E49" s="182" t="s">
        <v>66</v>
      </c>
      <c r="F49" s="80">
        <f>F46-F48</f>
        <v>258.2354288886079</v>
      </c>
      <c r="G49" s="384" t="s">
        <v>3</v>
      </c>
      <c r="H49" s="411">
        <v>18.78</v>
      </c>
      <c r="I49" s="92"/>
      <c r="J49" s="92">
        <f t="shared" si="6"/>
        <v>18.34</v>
      </c>
      <c r="K49" s="92">
        <f t="shared" si="7"/>
        <v>4.59</v>
      </c>
      <c r="L49" s="178">
        <f t="shared" si="8"/>
        <v>22.93</v>
      </c>
      <c r="M49" s="92">
        <f t="shared" si="9"/>
        <v>4736.04</v>
      </c>
      <c r="N49" s="92">
        <f t="shared" si="10"/>
        <v>1185.3000000000002</v>
      </c>
      <c r="O49" s="92">
        <f t="shared" si="11"/>
        <v>5921.34</v>
      </c>
    </row>
    <row r="50" spans="1:31" ht="18">
      <c r="A50" s="407" t="s">
        <v>33</v>
      </c>
      <c r="B50" s="407" t="s">
        <v>98</v>
      </c>
      <c r="C50" s="175" t="s">
        <v>374</v>
      </c>
      <c r="D50" s="407">
        <v>2671</v>
      </c>
      <c r="E50" s="412" t="s">
        <v>420</v>
      </c>
      <c r="F50" s="409">
        <f>SUMIF(Drenagem!$C$4:$C$12,"=400",Drenagem!$D$4:$D$12)</f>
        <v>19</v>
      </c>
      <c r="G50" s="410" t="s">
        <v>6</v>
      </c>
      <c r="H50" s="411">
        <f>ROUND(35.04/1.329,2)</f>
        <v>26.37</v>
      </c>
      <c r="I50" s="92"/>
      <c r="J50" s="92">
        <f t="shared" si="6"/>
        <v>25.76</v>
      </c>
      <c r="K50" s="92">
        <f t="shared" si="7"/>
        <v>6.440000000000001</v>
      </c>
      <c r="L50" s="178">
        <f t="shared" si="8"/>
        <v>32.2</v>
      </c>
      <c r="M50" s="92">
        <f t="shared" si="9"/>
        <v>489.44</v>
      </c>
      <c r="N50" s="92">
        <f t="shared" si="10"/>
        <v>122.35999999999996</v>
      </c>
      <c r="O50" s="92">
        <f t="shared" si="11"/>
        <v>611.8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8">
      <c r="A51" s="175" t="s">
        <v>34</v>
      </c>
      <c r="B51" s="407" t="s">
        <v>98</v>
      </c>
      <c r="C51" s="175" t="s">
        <v>374</v>
      </c>
      <c r="D51" s="407">
        <v>2673</v>
      </c>
      <c r="E51" s="412" t="s">
        <v>54</v>
      </c>
      <c r="F51" s="409">
        <f>SUMIF(Drenagem!$C$4:$C$12,"=600",Drenagem!$D$4:$D$12)</f>
        <v>0</v>
      </c>
      <c r="G51" s="410" t="s">
        <v>6</v>
      </c>
      <c r="H51" s="411">
        <f>ROUND(35.25/1.329,2)</f>
        <v>26.52</v>
      </c>
      <c r="I51" s="92"/>
      <c r="J51" s="92">
        <f t="shared" si="6"/>
        <v>25.9</v>
      </c>
      <c r="K51" s="92">
        <f t="shared" si="7"/>
        <v>6.480000000000004</v>
      </c>
      <c r="L51" s="178">
        <f t="shared" si="8"/>
        <v>32.38</v>
      </c>
      <c r="M51" s="92">
        <f t="shared" si="9"/>
        <v>0</v>
      </c>
      <c r="N51" s="92">
        <f t="shared" si="10"/>
        <v>0</v>
      </c>
      <c r="O51" s="92">
        <f t="shared" si="11"/>
        <v>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8">
      <c r="A52" s="407" t="s">
        <v>35</v>
      </c>
      <c r="B52" s="175" t="s">
        <v>95</v>
      </c>
      <c r="C52" s="407" t="s">
        <v>267</v>
      </c>
      <c r="D52" s="175">
        <v>7761</v>
      </c>
      <c r="E52" s="177" t="s">
        <v>505</v>
      </c>
      <c r="F52" s="409">
        <f>SUMIF(Drenagem!$E$4:$E$50,"=400",Drenagem!$F$4:$F$50)</f>
        <v>100</v>
      </c>
      <c r="G52" s="384" t="s">
        <v>6</v>
      </c>
      <c r="H52" s="411">
        <v>83.02</v>
      </c>
      <c r="I52" s="92"/>
      <c r="J52" s="92">
        <f aca="true" t="shared" si="12" ref="J52:J61">ROUND(0.8*L52,2)</f>
        <v>77.58</v>
      </c>
      <c r="K52" s="92">
        <f aca="true" t="shared" si="13" ref="K52:K61">L52-J52</f>
        <v>19.39</v>
      </c>
      <c r="L52" s="178">
        <f t="shared" si="8"/>
        <v>96.97</v>
      </c>
      <c r="M52" s="92">
        <f aca="true" t="shared" si="14" ref="M52:M61">ROUND(J52*F52,2)</f>
        <v>7758</v>
      </c>
      <c r="N52" s="92">
        <f aca="true" t="shared" si="15" ref="N52:N61">O52-M52</f>
        <v>1939</v>
      </c>
      <c r="O52" s="92">
        <f aca="true" t="shared" si="16" ref="O52:O61">ROUND(L52*F52,2)</f>
        <v>9697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54">
      <c r="A53" s="175" t="s">
        <v>36</v>
      </c>
      <c r="B53" s="175" t="s">
        <v>95</v>
      </c>
      <c r="C53" s="407" t="s">
        <v>374</v>
      </c>
      <c r="D53" s="175">
        <v>92809</v>
      </c>
      <c r="E53" s="177" t="s">
        <v>501</v>
      </c>
      <c r="F53" s="409">
        <f>F52</f>
        <v>100</v>
      </c>
      <c r="G53" s="384" t="s">
        <v>6</v>
      </c>
      <c r="H53" s="411">
        <v>44.9</v>
      </c>
      <c r="I53" s="92"/>
      <c r="J53" s="92">
        <f t="shared" si="12"/>
        <v>43.86</v>
      </c>
      <c r="K53" s="92">
        <f t="shared" si="13"/>
        <v>10.96</v>
      </c>
      <c r="L53" s="178">
        <f t="shared" si="8"/>
        <v>54.82</v>
      </c>
      <c r="M53" s="92">
        <f t="shared" si="14"/>
        <v>4386</v>
      </c>
      <c r="N53" s="92">
        <f t="shared" si="15"/>
        <v>1096</v>
      </c>
      <c r="O53" s="92">
        <f t="shared" si="16"/>
        <v>5482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8">
      <c r="A54" s="407" t="s">
        <v>37</v>
      </c>
      <c r="B54" s="175" t="s">
        <v>95</v>
      </c>
      <c r="C54" s="407" t="s">
        <v>267</v>
      </c>
      <c r="D54" s="175">
        <v>7762</v>
      </c>
      <c r="E54" s="177" t="s">
        <v>506</v>
      </c>
      <c r="F54" s="409">
        <f>SUMIF(Drenagem!$E$4:$E$50,"=600",Drenagem!$F$4:$F$50)</f>
        <v>90</v>
      </c>
      <c r="G54" s="384" t="s">
        <v>6</v>
      </c>
      <c r="H54" s="411">
        <v>131.88</v>
      </c>
      <c r="I54" s="92"/>
      <c r="J54" s="92">
        <f t="shared" si="12"/>
        <v>123.23</v>
      </c>
      <c r="K54" s="92">
        <f t="shared" si="13"/>
        <v>30.809999999999988</v>
      </c>
      <c r="L54" s="178">
        <f t="shared" si="8"/>
        <v>154.04</v>
      </c>
      <c r="M54" s="92">
        <f t="shared" si="14"/>
        <v>11090.7</v>
      </c>
      <c r="N54" s="92">
        <f t="shared" si="15"/>
        <v>2772.8999999999996</v>
      </c>
      <c r="O54" s="92">
        <f t="shared" si="16"/>
        <v>13863.6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54">
      <c r="A55" s="175" t="s">
        <v>38</v>
      </c>
      <c r="B55" s="175" t="s">
        <v>95</v>
      </c>
      <c r="C55" s="407" t="s">
        <v>374</v>
      </c>
      <c r="D55" s="175">
        <v>92811</v>
      </c>
      <c r="E55" s="177" t="s">
        <v>502</v>
      </c>
      <c r="F55" s="409">
        <f>F54</f>
        <v>90</v>
      </c>
      <c r="G55" s="384" t="s">
        <v>6</v>
      </c>
      <c r="H55" s="411">
        <v>65.05</v>
      </c>
      <c r="I55" s="92"/>
      <c r="J55" s="92">
        <f t="shared" si="12"/>
        <v>63.54</v>
      </c>
      <c r="K55" s="92">
        <f t="shared" si="13"/>
        <v>15.880000000000003</v>
      </c>
      <c r="L55" s="178">
        <f t="shared" si="8"/>
        <v>79.42</v>
      </c>
      <c r="M55" s="92">
        <f t="shared" si="14"/>
        <v>5718.6</v>
      </c>
      <c r="N55" s="92">
        <f t="shared" si="15"/>
        <v>1429.1999999999998</v>
      </c>
      <c r="O55" s="92">
        <f t="shared" si="16"/>
        <v>7147.8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8">
      <c r="A56" s="407" t="s">
        <v>72</v>
      </c>
      <c r="B56" s="175" t="s">
        <v>95</v>
      </c>
      <c r="C56" s="407" t="s">
        <v>267</v>
      </c>
      <c r="D56" s="175">
        <v>7763</v>
      </c>
      <c r="E56" s="177" t="s">
        <v>507</v>
      </c>
      <c r="F56" s="409">
        <f>SUMIF(Drenagem!$E$4:$E$50,"=800",Drenagem!$F$4:$F$50)</f>
        <v>20</v>
      </c>
      <c r="G56" s="384" t="s">
        <v>6</v>
      </c>
      <c r="H56" s="411">
        <v>245.88</v>
      </c>
      <c r="I56" s="92"/>
      <c r="J56" s="92">
        <f t="shared" si="12"/>
        <v>229.75</v>
      </c>
      <c r="K56" s="92">
        <f t="shared" si="13"/>
        <v>57.44</v>
      </c>
      <c r="L56" s="178">
        <f t="shared" si="8"/>
        <v>287.19</v>
      </c>
      <c r="M56" s="92">
        <f t="shared" si="14"/>
        <v>4595</v>
      </c>
      <c r="N56" s="92">
        <f t="shared" si="15"/>
        <v>1148.8000000000002</v>
      </c>
      <c r="O56" s="92">
        <f t="shared" si="16"/>
        <v>5743.8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54">
      <c r="A57" s="175" t="s">
        <v>73</v>
      </c>
      <c r="B57" s="175" t="s">
        <v>95</v>
      </c>
      <c r="C57" s="407" t="s">
        <v>374</v>
      </c>
      <c r="D57" s="175">
        <v>92813</v>
      </c>
      <c r="E57" s="177" t="s">
        <v>503</v>
      </c>
      <c r="F57" s="80">
        <f>F56</f>
        <v>20</v>
      </c>
      <c r="G57" s="384" t="s">
        <v>6</v>
      </c>
      <c r="H57" s="411">
        <v>87.28</v>
      </c>
      <c r="I57" s="92"/>
      <c r="J57" s="92">
        <f t="shared" si="12"/>
        <v>85.25</v>
      </c>
      <c r="K57" s="92">
        <f t="shared" si="13"/>
        <v>21.310000000000002</v>
      </c>
      <c r="L57" s="178">
        <f t="shared" si="8"/>
        <v>106.56</v>
      </c>
      <c r="M57" s="92">
        <f t="shared" si="14"/>
        <v>1705</v>
      </c>
      <c r="N57" s="92">
        <f t="shared" si="15"/>
        <v>426.1999999999998</v>
      </c>
      <c r="O57" s="92">
        <f t="shared" si="16"/>
        <v>2131.2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8">
      <c r="A58" s="407" t="s">
        <v>74</v>
      </c>
      <c r="B58" s="175" t="s">
        <v>95</v>
      </c>
      <c r="C58" s="407" t="s">
        <v>267</v>
      </c>
      <c r="D58" s="175">
        <v>12572</v>
      </c>
      <c r="E58" s="177" t="s">
        <v>508</v>
      </c>
      <c r="F58" s="409">
        <f>SUMIF(Drenagem!$E$4:$E$50,"=1000",Drenagem!$F$4:$F$50)</f>
        <v>0</v>
      </c>
      <c r="G58" s="384" t="s">
        <v>6</v>
      </c>
      <c r="H58" s="80">
        <v>415.12</v>
      </c>
      <c r="I58" s="92"/>
      <c r="J58" s="92">
        <f t="shared" si="12"/>
        <v>387.89</v>
      </c>
      <c r="K58" s="92">
        <f t="shared" si="13"/>
        <v>96.97000000000003</v>
      </c>
      <c r="L58" s="178">
        <f t="shared" si="8"/>
        <v>484.86</v>
      </c>
      <c r="M58" s="92">
        <f t="shared" si="14"/>
        <v>0</v>
      </c>
      <c r="N58" s="92">
        <f t="shared" si="15"/>
        <v>0</v>
      </c>
      <c r="O58" s="92">
        <f t="shared" si="16"/>
        <v>0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54">
      <c r="A59" s="175" t="s">
        <v>412</v>
      </c>
      <c r="B59" s="175" t="s">
        <v>95</v>
      </c>
      <c r="C59" s="407" t="s">
        <v>374</v>
      </c>
      <c r="D59" s="175">
        <v>92815</v>
      </c>
      <c r="E59" s="177" t="s">
        <v>504</v>
      </c>
      <c r="F59" s="409">
        <f>F58</f>
        <v>0</v>
      </c>
      <c r="G59" s="384" t="s">
        <v>6</v>
      </c>
      <c r="H59" s="411">
        <v>114.13</v>
      </c>
      <c r="I59" s="92"/>
      <c r="J59" s="92">
        <f t="shared" si="12"/>
        <v>111.47</v>
      </c>
      <c r="K59" s="92">
        <f t="shared" si="13"/>
        <v>27.870000000000005</v>
      </c>
      <c r="L59" s="178">
        <f t="shared" si="8"/>
        <v>139.34</v>
      </c>
      <c r="M59" s="92">
        <f t="shared" si="14"/>
        <v>0</v>
      </c>
      <c r="N59" s="92">
        <f t="shared" si="15"/>
        <v>0</v>
      </c>
      <c r="O59" s="92">
        <f t="shared" si="16"/>
        <v>0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8">
      <c r="A60" s="407" t="s">
        <v>413</v>
      </c>
      <c r="B60" s="407" t="s">
        <v>98</v>
      </c>
      <c r="C60" s="175" t="s">
        <v>374</v>
      </c>
      <c r="D60" s="407">
        <v>2590</v>
      </c>
      <c r="E60" s="412" t="s">
        <v>467</v>
      </c>
      <c r="F60" s="409">
        <f>Drenagem!M22</f>
        <v>18</v>
      </c>
      <c r="G60" s="410" t="s">
        <v>20</v>
      </c>
      <c r="H60" s="411">
        <f>ROUND(198.89/1.329,2)</f>
        <v>149.65</v>
      </c>
      <c r="I60" s="92"/>
      <c r="J60" s="92">
        <f t="shared" si="12"/>
        <v>146.17</v>
      </c>
      <c r="K60" s="92">
        <f t="shared" si="13"/>
        <v>36.54000000000002</v>
      </c>
      <c r="L60" s="178">
        <f t="shared" si="8"/>
        <v>182.71</v>
      </c>
      <c r="M60" s="92">
        <f t="shared" si="14"/>
        <v>2631.06</v>
      </c>
      <c r="N60" s="92">
        <f t="shared" si="15"/>
        <v>657.7200000000003</v>
      </c>
      <c r="O60" s="92">
        <f t="shared" si="16"/>
        <v>3288.78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8">
      <c r="A61" s="175" t="s">
        <v>414</v>
      </c>
      <c r="B61" s="407" t="s">
        <v>98</v>
      </c>
      <c r="C61" s="175" t="s">
        <v>374</v>
      </c>
      <c r="D61" s="407">
        <v>2592</v>
      </c>
      <c r="E61" s="465" t="s">
        <v>499</v>
      </c>
      <c r="F61" s="409">
        <f>Drenagem!M23</f>
        <v>14</v>
      </c>
      <c r="G61" s="410" t="s">
        <v>20</v>
      </c>
      <c r="H61" s="411">
        <f>ROUND(324.88/1.329,2)</f>
        <v>244.45</v>
      </c>
      <c r="I61" s="92"/>
      <c r="J61" s="92">
        <f t="shared" si="12"/>
        <v>238.76</v>
      </c>
      <c r="K61" s="92">
        <f t="shared" si="13"/>
        <v>59.69</v>
      </c>
      <c r="L61" s="178">
        <f t="shared" si="8"/>
        <v>298.45</v>
      </c>
      <c r="M61" s="92">
        <f t="shared" si="14"/>
        <v>3342.64</v>
      </c>
      <c r="N61" s="92">
        <f t="shared" si="15"/>
        <v>835.6600000000003</v>
      </c>
      <c r="O61" s="92">
        <f t="shared" si="16"/>
        <v>4178.3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8">
      <c r="A62" s="407" t="s">
        <v>416</v>
      </c>
      <c r="B62" s="175" t="s">
        <v>95</v>
      </c>
      <c r="C62" s="175" t="s">
        <v>374</v>
      </c>
      <c r="D62" s="175" t="s">
        <v>53</v>
      </c>
      <c r="E62" s="177" t="s">
        <v>468</v>
      </c>
      <c r="F62" s="80">
        <f>Drenagem!M15</f>
        <v>2</v>
      </c>
      <c r="G62" s="384" t="s">
        <v>20</v>
      </c>
      <c r="H62" s="411">
        <v>1872.96</v>
      </c>
      <c r="I62" s="92"/>
      <c r="J62" s="92">
        <f aca="true" t="shared" si="17" ref="J62:J67">ROUND(0.8*L62,2)</f>
        <v>1829.36</v>
      </c>
      <c r="K62" s="92">
        <f aca="true" t="shared" si="18" ref="K62:K67">L62-J62</f>
        <v>457.3399999999999</v>
      </c>
      <c r="L62" s="178">
        <f t="shared" si="8"/>
        <v>2286.7</v>
      </c>
      <c r="M62" s="92">
        <f aca="true" t="shared" si="19" ref="M62:M67">ROUND(J62*F62,2)</f>
        <v>3658.72</v>
      </c>
      <c r="N62" s="92">
        <f aca="true" t="shared" si="20" ref="N62:N67">O62-M62</f>
        <v>914.6799999999998</v>
      </c>
      <c r="O62" s="92">
        <f aca="true" t="shared" si="21" ref="O62:O67">ROUND(L62*F62,2)</f>
        <v>4573.4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8">
      <c r="A63" s="175" t="s">
        <v>417</v>
      </c>
      <c r="B63" s="407" t="s">
        <v>95</v>
      </c>
      <c r="C63" s="175" t="s">
        <v>374</v>
      </c>
      <c r="D63" s="407">
        <v>90082</v>
      </c>
      <c r="E63" s="408" t="s">
        <v>469</v>
      </c>
      <c r="F63" s="409">
        <f>Drenagem!S12</f>
        <v>1401.272</v>
      </c>
      <c r="G63" s="410" t="s">
        <v>3</v>
      </c>
      <c r="H63" s="411">
        <v>9.04</v>
      </c>
      <c r="I63" s="92"/>
      <c r="J63" s="92">
        <f t="shared" si="17"/>
        <v>8.83</v>
      </c>
      <c r="K63" s="92">
        <f t="shared" si="18"/>
        <v>2.209999999999999</v>
      </c>
      <c r="L63" s="178">
        <f t="shared" si="8"/>
        <v>11.04</v>
      </c>
      <c r="M63" s="92">
        <f t="shared" si="19"/>
        <v>12373.23</v>
      </c>
      <c r="N63" s="92">
        <f t="shared" si="20"/>
        <v>3096.8100000000013</v>
      </c>
      <c r="O63" s="92">
        <f t="shared" si="21"/>
        <v>15470.04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8">
      <c r="A64" s="407" t="s">
        <v>421</v>
      </c>
      <c r="B64" s="407" t="s">
        <v>95</v>
      </c>
      <c r="C64" s="175" t="s">
        <v>374</v>
      </c>
      <c r="D64" s="407">
        <v>102306</v>
      </c>
      <c r="E64" s="408" t="s">
        <v>519</v>
      </c>
      <c r="F64" s="409">
        <f>Drenagem!T12</f>
        <v>366.28</v>
      </c>
      <c r="G64" s="410" t="s">
        <v>3</v>
      </c>
      <c r="H64" s="411">
        <v>12.73</v>
      </c>
      <c r="I64" s="92"/>
      <c r="J64" s="92">
        <f t="shared" si="17"/>
        <v>12.43</v>
      </c>
      <c r="K64" s="92">
        <f t="shared" si="18"/>
        <v>3.1099999999999994</v>
      </c>
      <c r="L64" s="178">
        <f>ROUND(IF(I64&gt;0,IF(C64="COMPOSIÇÃO",H64*($E$85+1),H64*($E$86+1)),IF(C64="COMPOSIÇÃO",H64*($E$85+1),H64*($E$86+1))),2)</f>
        <v>15.54</v>
      </c>
      <c r="M64" s="92">
        <f t="shared" si="19"/>
        <v>4552.86</v>
      </c>
      <c r="N64" s="92">
        <f t="shared" si="20"/>
        <v>1139.13</v>
      </c>
      <c r="O64" s="92">
        <f t="shared" si="21"/>
        <v>5691.99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8">
      <c r="A65" s="175" t="s">
        <v>422</v>
      </c>
      <c r="B65" s="407" t="s">
        <v>99</v>
      </c>
      <c r="C65" s="175" t="s">
        <v>374</v>
      </c>
      <c r="D65" s="407">
        <v>4805765</v>
      </c>
      <c r="E65" s="408" t="s">
        <v>520</v>
      </c>
      <c r="F65" s="409">
        <f>Drenagem!U12</f>
        <v>196.4</v>
      </c>
      <c r="G65" s="410" t="s">
        <v>3</v>
      </c>
      <c r="H65" s="411">
        <v>131.05</v>
      </c>
      <c r="I65" s="92"/>
      <c r="J65" s="92">
        <f t="shared" si="17"/>
        <v>128</v>
      </c>
      <c r="K65" s="92">
        <f t="shared" si="18"/>
        <v>32</v>
      </c>
      <c r="L65" s="178">
        <f>ROUND(IF(I65&gt;0,IF(C65="COMPOSIÇÃO",H65*($E$85+1),H65*($E$86+1)),IF(C65="COMPOSIÇÃO",H65*($E$85+1),H65*($E$86+1))),2)</f>
        <v>160</v>
      </c>
      <c r="M65" s="92">
        <f t="shared" si="19"/>
        <v>25139.2</v>
      </c>
      <c r="N65" s="92">
        <f t="shared" si="20"/>
        <v>6284.799999999999</v>
      </c>
      <c r="O65" s="92">
        <f t="shared" si="21"/>
        <v>31424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36">
      <c r="A66" s="407" t="s">
        <v>423</v>
      </c>
      <c r="B66" s="175" t="s">
        <v>95</v>
      </c>
      <c r="C66" s="175" t="s">
        <v>374</v>
      </c>
      <c r="D66" s="175">
        <v>93589</v>
      </c>
      <c r="E66" s="182" t="s">
        <v>285</v>
      </c>
      <c r="F66" s="80">
        <f>ROUND((F63*1.3+F64*1.25+F65*1.5)*I66,2)</f>
        <v>10296.41</v>
      </c>
      <c r="G66" s="384" t="s">
        <v>268</v>
      </c>
      <c r="H66" s="178">
        <f>H47</f>
        <v>1.81</v>
      </c>
      <c r="I66" s="92">
        <v>4</v>
      </c>
      <c r="J66" s="92">
        <f t="shared" si="17"/>
        <v>1.77</v>
      </c>
      <c r="K66" s="92">
        <f t="shared" si="18"/>
        <v>0.43999999999999995</v>
      </c>
      <c r="L66" s="178">
        <f t="shared" si="8"/>
        <v>2.21</v>
      </c>
      <c r="M66" s="92">
        <f t="shared" si="19"/>
        <v>18224.65</v>
      </c>
      <c r="N66" s="92">
        <f t="shared" si="20"/>
        <v>4530.419999999998</v>
      </c>
      <c r="O66" s="92">
        <f t="shared" si="21"/>
        <v>22755.07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8">
      <c r="A67" s="175" t="s">
        <v>518</v>
      </c>
      <c r="B67" s="175" t="s">
        <v>95</v>
      </c>
      <c r="C67" s="175" t="s">
        <v>374</v>
      </c>
      <c r="D67" s="101" t="s">
        <v>465</v>
      </c>
      <c r="E67" s="242" t="s">
        <v>466</v>
      </c>
      <c r="F67" s="80">
        <f>ROUND((F63*1.3+F64*1.25+F65*1.5),2)</f>
        <v>2574.1</v>
      </c>
      <c r="G67" s="384" t="s">
        <v>3</v>
      </c>
      <c r="H67" s="411">
        <f>H48</f>
        <v>1.13</v>
      </c>
      <c r="I67" s="92"/>
      <c r="J67" s="92">
        <f t="shared" si="17"/>
        <v>1.1</v>
      </c>
      <c r="K67" s="92">
        <f t="shared" si="18"/>
        <v>0.2799999999999998</v>
      </c>
      <c r="L67" s="178">
        <f t="shared" si="8"/>
        <v>1.38</v>
      </c>
      <c r="M67" s="92">
        <f t="shared" si="19"/>
        <v>2831.51</v>
      </c>
      <c r="N67" s="92">
        <f t="shared" si="20"/>
        <v>720.75</v>
      </c>
      <c r="O67" s="92">
        <f t="shared" si="21"/>
        <v>3552.26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s="14" customFormat="1" ht="20.25">
      <c r="A68" s="95" t="s">
        <v>69</v>
      </c>
      <c r="B68" s="95"/>
      <c r="C68" s="95"/>
      <c r="D68" s="95"/>
      <c r="E68" s="95"/>
      <c r="F68" s="95"/>
      <c r="G68" s="95"/>
      <c r="H68" s="168"/>
      <c r="I68" s="95"/>
      <c r="J68" s="95"/>
      <c r="K68" s="95"/>
      <c r="L68" s="132">
        <f>O68/$O$78</f>
        <v>0.07140964394606426</v>
      </c>
      <c r="M68" s="96">
        <f>SUM(M46:M67)</f>
        <v>119595.92</v>
      </c>
      <c r="N68" s="96">
        <f>SUM(N46:N67)</f>
        <v>29890.58</v>
      </c>
      <c r="O68" s="96">
        <f>SUM(O46:O67)</f>
        <v>149486.5</v>
      </c>
      <c r="P68" s="7"/>
      <c r="Q68" s="7"/>
      <c r="R68" s="7"/>
      <c r="S68" s="7"/>
      <c r="T68" s="7"/>
      <c r="U68" s="7"/>
      <c r="V68" s="8"/>
      <c r="W68" s="8"/>
      <c r="X68" s="7"/>
      <c r="Y68" s="7"/>
      <c r="Z68" s="7"/>
      <c r="AA68" s="7"/>
      <c r="AB68" s="7"/>
      <c r="AC68" s="7"/>
      <c r="AD68" s="7"/>
      <c r="AE68" s="7"/>
    </row>
    <row r="69" spans="1:31" s="15" customFormat="1" ht="20.25">
      <c r="A69" s="97">
        <v>5</v>
      </c>
      <c r="B69" s="98" t="s">
        <v>40</v>
      </c>
      <c r="C69" s="98"/>
      <c r="D69" s="98"/>
      <c r="E69" s="99"/>
      <c r="F69" s="99"/>
      <c r="G69" s="99"/>
      <c r="H69" s="169"/>
      <c r="I69" s="99"/>
      <c r="J69" s="99"/>
      <c r="K69" s="99"/>
      <c r="L69" s="99"/>
      <c r="M69" s="99"/>
      <c r="N69" s="99"/>
      <c r="O69" s="100"/>
      <c r="P69" s="7"/>
      <c r="Q69" s="7"/>
      <c r="R69" s="7"/>
      <c r="S69" s="7"/>
      <c r="T69" s="7"/>
      <c r="U69" s="7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15" ht="20.25">
      <c r="A70" s="175" t="s">
        <v>26</v>
      </c>
      <c r="B70" s="175" t="s">
        <v>99</v>
      </c>
      <c r="C70" s="175" t="s">
        <v>374</v>
      </c>
      <c r="D70" s="175">
        <v>5213401</v>
      </c>
      <c r="E70" s="177" t="s">
        <v>260</v>
      </c>
      <c r="F70" s="413">
        <f>Sinalização!Y11+Sinalização!Y12</f>
        <v>638.54</v>
      </c>
      <c r="G70" s="384" t="s">
        <v>4</v>
      </c>
      <c r="H70" s="92">
        <v>27.62</v>
      </c>
      <c r="I70" s="92"/>
      <c r="J70" s="92">
        <f aca="true" t="shared" si="22" ref="J70:J76">ROUND(0.8*L70,2)</f>
        <v>26.98</v>
      </c>
      <c r="K70" s="92">
        <f aca="true" t="shared" si="23" ref="K70:K76">L70-J70</f>
        <v>6.739999999999998</v>
      </c>
      <c r="L70" s="92">
        <f aca="true" t="shared" si="24" ref="L70:L76">ROUND(IF(I70&gt;0,IF(C70="COMPOSIÇÃO",H70*($E$85+1),H70*($E$86+1)),IF(C70="COMPOSIÇÃO",H70*($E$85+1),H70*($E$86+1))),2)</f>
        <v>33.72</v>
      </c>
      <c r="M70" s="92">
        <f>ROUND(J70*F70,2)</f>
        <v>17227.81</v>
      </c>
      <c r="N70" s="92">
        <f aca="true" t="shared" si="25" ref="N70:N76">O70-M70</f>
        <v>4303.759999999998</v>
      </c>
      <c r="O70" s="92">
        <f>ROUND(L70*F70,2)</f>
        <v>21531.57</v>
      </c>
    </row>
    <row r="71" spans="1:15" ht="20.25">
      <c r="A71" s="78" t="s">
        <v>27</v>
      </c>
      <c r="B71" s="78" t="s">
        <v>99</v>
      </c>
      <c r="C71" s="78" t="s">
        <v>374</v>
      </c>
      <c r="D71" s="78">
        <v>5213360</v>
      </c>
      <c r="E71" s="79" t="s">
        <v>470</v>
      </c>
      <c r="F71" s="80">
        <f>Sinalização!Y28</f>
        <v>307</v>
      </c>
      <c r="G71" s="81" t="s">
        <v>20</v>
      </c>
      <c r="H71" s="92">
        <v>15.9</v>
      </c>
      <c r="I71" s="92"/>
      <c r="J71" s="92">
        <f t="shared" si="22"/>
        <v>15.53</v>
      </c>
      <c r="K71" s="92">
        <f t="shared" si="23"/>
        <v>3.880000000000001</v>
      </c>
      <c r="L71" s="92">
        <f t="shared" si="24"/>
        <v>19.41</v>
      </c>
      <c r="M71" s="92">
        <f>ROUND(J71*F71,2)</f>
        <v>4767.71</v>
      </c>
      <c r="N71" s="92">
        <f t="shared" si="25"/>
        <v>1191.1599999999999</v>
      </c>
      <c r="O71" s="92">
        <f>ROUND(L71*F71,2)</f>
        <v>5958.87</v>
      </c>
    </row>
    <row r="72" spans="1:15" ht="20.25">
      <c r="A72" s="175" t="s">
        <v>432</v>
      </c>
      <c r="B72" s="175" t="s">
        <v>99</v>
      </c>
      <c r="C72" s="175" t="s">
        <v>374</v>
      </c>
      <c r="D72" s="175">
        <v>5213359</v>
      </c>
      <c r="E72" s="177" t="s">
        <v>471</v>
      </c>
      <c r="F72" s="80">
        <f>Sinalização!Y29</f>
        <v>306</v>
      </c>
      <c r="G72" s="384" t="s">
        <v>20</v>
      </c>
      <c r="H72" s="92">
        <v>14.6</v>
      </c>
      <c r="I72" s="92"/>
      <c r="J72" s="92">
        <f t="shared" si="22"/>
        <v>14.26</v>
      </c>
      <c r="K72" s="92">
        <f t="shared" si="23"/>
        <v>3.5699999999999985</v>
      </c>
      <c r="L72" s="92">
        <f t="shared" si="24"/>
        <v>17.83</v>
      </c>
      <c r="M72" s="92">
        <f>ROUND(J72*F72,2)</f>
        <v>4363.56</v>
      </c>
      <c r="N72" s="92">
        <f t="shared" si="25"/>
        <v>1092.4199999999992</v>
      </c>
      <c r="O72" s="92">
        <f>ROUND(L72*F72,2)</f>
        <v>5455.98</v>
      </c>
    </row>
    <row r="73" spans="1:15" ht="36">
      <c r="A73" s="175" t="s">
        <v>433</v>
      </c>
      <c r="B73" s="175" t="s">
        <v>99</v>
      </c>
      <c r="C73" s="175" t="s">
        <v>374</v>
      </c>
      <c r="D73" s="175">
        <v>5213440</v>
      </c>
      <c r="E73" s="177" t="s">
        <v>472</v>
      </c>
      <c r="F73" s="413">
        <f>SUM(Sinalização!J10:J16)</f>
        <v>4</v>
      </c>
      <c r="G73" s="384" t="s">
        <v>20</v>
      </c>
      <c r="H73" s="92">
        <v>151.67</v>
      </c>
      <c r="I73" s="92"/>
      <c r="J73" s="92">
        <f t="shared" si="22"/>
        <v>148.14</v>
      </c>
      <c r="K73" s="92">
        <f t="shared" si="23"/>
        <v>37.03</v>
      </c>
      <c r="L73" s="92">
        <f t="shared" si="24"/>
        <v>185.17</v>
      </c>
      <c r="M73" s="92">
        <f>ROUND(J73*F73,2)</f>
        <v>592.56</v>
      </c>
      <c r="N73" s="92">
        <f t="shared" si="25"/>
        <v>148.12</v>
      </c>
      <c r="O73" s="92">
        <f>ROUND(L73*F73,2)</f>
        <v>740.68</v>
      </c>
    </row>
    <row r="74" spans="1:15" ht="20.25">
      <c r="A74" s="175" t="s">
        <v>434</v>
      </c>
      <c r="B74" s="175" t="s">
        <v>99</v>
      </c>
      <c r="C74" s="175" t="s">
        <v>374</v>
      </c>
      <c r="D74" s="175">
        <v>5213851</v>
      </c>
      <c r="E74" s="177" t="s">
        <v>272</v>
      </c>
      <c r="F74" s="413">
        <f>F73</f>
        <v>4</v>
      </c>
      <c r="G74" s="384" t="s">
        <v>20</v>
      </c>
      <c r="H74" s="92">
        <v>243.7</v>
      </c>
      <c r="I74" s="92"/>
      <c r="J74" s="92">
        <f>ROUND(0.8*L74,2)</f>
        <v>238.02</v>
      </c>
      <c r="K74" s="92">
        <f>L74-J74</f>
        <v>59.50999999999996</v>
      </c>
      <c r="L74" s="92">
        <f t="shared" si="24"/>
        <v>297.53</v>
      </c>
      <c r="M74" s="92">
        <f>ROUND(J74*F74,2)</f>
        <v>952.08</v>
      </c>
      <c r="N74" s="92">
        <f>O74-M74</f>
        <v>238.03999999999985</v>
      </c>
      <c r="O74" s="92">
        <f>ROUND(L74*F74,2)</f>
        <v>1190.12</v>
      </c>
    </row>
    <row r="75" spans="1:15" ht="20.25">
      <c r="A75" s="175" t="s">
        <v>435</v>
      </c>
      <c r="B75" s="175" t="s">
        <v>99</v>
      </c>
      <c r="C75" s="175" t="s">
        <v>374</v>
      </c>
      <c r="D75" s="175">
        <v>5213464</v>
      </c>
      <c r="E75" s="177" t="s">
        <v>500</v>
      </c>
      <c r="F75" s="413">
        <f>SUM(Sinalização!J19:J35)</f>
        <v>8</v>
      </c>
      <c r="G75" s="384" t="s">
        <v>20</v>
      </c>
      <c r="H75" s="92">
        <v>182.51</v>
      </c>
      <c r="I75" s="92"/>
      <c r="J75" s="92">
        <f t="shared" si="22"/>
        <v>178.26</v>
      </c>
      <c r="K75" s="92">
        <f t="shared" si="23"/>
        <v>44.57000000000002</v>
      </c>
      <c r="L75" s="92">
        <f t="shared" si="24"/>
        <v>222.83</v>
      </c>
      <c r="M75" s="92">
        <f>ROUND(J75*F74,2)</f>
        <v>713.04</v>
      </c>
      <c r="N75" s="92">
        <f t="shared" si="25"/>
        <v>178.2800000000001</v>
      </c>
      <c r="O75" s="92">
        <f>ROUND(L75*F74,2)</f>
        <v>891.32</v>
      </c>
    </row>
    <row r="76" spans="1:15" ht="20.25">
      <c r="A76" s="175" t="s">
        <v>436</v>
      </c>
      <c r="B76" s="175" t="s">
        <v>99</v>
      </c>
      <c r="C76" s="175" t="s">
        <v>374</v>
      </c>
      <c r="D76" s="175">
        <v>5213863</v>
      </c>
      <c r="E76" s="177" t="s">
        <v>271</v>
      </c>
      <c r="F76" s="413">
        <f>F75</f>
        <v>8</v>
      </c>
      <c r="G76" s="384" t="s">
        <v>20</v>
      </c>
      <c r="H76" s="92">
        <v>305.21</v>
      </c>
      <c r="I76" s="92"/>
      <c r="J76" s="92">
        <f t="shared" si="22"/>
        <v>298.1</v>
      </c>
      <c r="K76" s="92">
        <f t="shared" si="23"/>
        <v>74.52999999999997</v>
      </c>
      <c r="L76" s="92">
        <f t="shared" si="24"/>
        <v>372.63</v>
      </c>
      <c r="M76" s="92">
        <f>ROUND(J76*F75,2)</f>
        <v>2384.8</v>
      </c>
      <c r="N76" s="92">
        <f t="shared" si="25"/>
        <v>596.2399999999998</v>
      </c>
      <c r="O76" s="92">
        <f>ROUND(L76*F75,2)</f>
        <v>2981.04</v>
      </c>
    </row>
    <row r="77" spans="1:31" s="14" customFormat="1" ht="20.25">
      <c r="A77" s="95" t="s">
        <v>69</v>
      </c>
      <c r="B77" s="95"/>
      <c r="C77" s="95"/>
      <c r="D77" s="95"/>
      <c r="E77" s="95"/>
      <c r="F77" s="95"/>
      <c r="G77" s="95"/>
      <c r="H77" s="168"/>
      <c r="I77" s="95"/>
      <c r="J77" s="95"/>
      <c r="K77" s="95"/>
      <c r="L77" s="132">
        <f>O77/$O$78</f>
        <v>0.018510659563636404</v>
      </c>
      <c r="M77" s="96">
        <f>SUM(M70:M76)</f>
        <v>31001.560000000005</v>
      </c>
      <c r="N77" s="96">
        <f>SUM(N70:N76)</f>
        <v>7748.019999999997</v>
      </c>
      <c r="O77" s="96">
        <f>SUM(O70:O76)</f>
        <v>38749.58</v>
      </c>
      <c r="P77" s="7"/>
      <c r="Q77" s="7"/>
      <c r="R77" s="7"/>
      <c r="S77" s="7"/>
      <c r="T77" s="7"/>
      <c r="U77" s="7"/>
      <c r="V77" s="8"/>
      <c r="W77" s="8"/>
      <c r="X77" s="7"/>
      <c r="Y77" s="7"/>
      <c r="Z77" s="7"/>
      <c r="AA77" s="7"/>
      <c r="AB77" s="7"/>
      <c r="AC77" s="7"/>
      <c r="AD77" s="7"/>
      <c r="AE77" s="7"/>
    </row>
    <row r="78" spans="1:31" s="15" customFormat="1" ht="20.25">
      <c r="A78" s="105" t="s">
        <v>28</v>
      </c>
      <c r="B78" s="105"/>
      <c r="C78" s="105"/>
      <c r="D78" s="105"/>
      <c r="E78" s="105"/>
      <c r="F78" s="105"/>
      <c r="G78" s="105"/>
      <c r="H78" s="170"/>
      <c r="I78" s="105"/>
      <c r="J78" s="105"/>
      <c r="K78" s="105"/>
      <c r="L78" s="137">
        <f>O78/$O$78</f>
        <v>1</v>
      </c>
      <c r="M78" s="106">
        <f>SUM(M11:M77)/2</f>
        <v>1675581.2100000002</v>
      </c>
      <c r="N78" s="106">
        <f>SUM(N11:N77)/2</f>
        <v>417784.5000000001</v>
      </c>
      <c r="O78" s="106">
        <f>SUM(O11:O77)/2</f>
        <v>2093365.7099999997</v>
      </c>
      <c r="P78" s="7"/>
      <c r="R78" s="7"/>
      <c r="S78" s="7"/>
      <c r="T78" s="7"/>
      <c r="U78" s="7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s="15" customFormat="1" ht="20.25">
      <c r="A79" s="34"/>
      <c r="B79" s="34"/>
      <c r="C79" s="34"/>
      <c r="D79" s="34"/>
      <c r="E79" s="34"/>
      <c r="F79" s="34"/>
      <c r="G79" s="34"/>
      <c r="H79" s="171"/>
      <c r="I79" s="34"/>
      <c r="J79" s="34"/>
      <c r="K79" s="34"/>
      <c r="L79" s="34"/>
      <c r="M79" s="19"/>
      <c r="N79" s="19"/>
      <c r="O79" s="19"/>
      <c r="P79" s="7"/>
      <c r="Q79" s="7"/>
      <c r="R79" s="7"/>
      <c r="S79" s="7"/>
      <c r="T79" s="7"/>
      <c r="U79" s="7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s="15" customFormat="1" ht="20.25">
      <c r="A80" s="34" t="s">
        <v>76</v>
      </c>
      <c r="B80" s="34"/>
      <c r="C80" s="34"/>
      <c r="D80" s="34"/>
      <c r="E80" s="34"/>
      <c r="F80" s="34"/>
      <c r="G80" s="34"/>
      <c r="H80" s="171"/>
      <c r="I80" s="34"/>
      <c r="J80" s="34"/>
      <c r="K80" s="34"/>
      <c r="L80" s="34"/>
      <c r="M80" s="19"/>
      <c r="N80" s="19"/>
      <c r="O80" s="19"/>
      <c r="P80" s="7"/>
      <c r="Q80" s="7"/>
      <c r="R80" s="7"/>
      <c r="S80" s="7"/>
      <c r="T80" s="7"/>
      <c r="U80" s="7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s="15" customFormat="1" ht="20.25">
      <c r="A81" s="131" t="s">
        <v>542</v>
      </c>
      <c r="B81" s="34"/>
      <c r="C81" s="34"/>
      <c r="D81" s="34"/>
      <c r="E81" s="34"/>
      <c r="F81" s="34"/>
      <c r="G81" s="34"/>
      <c r="H81" s="171"/>
      <c r="I81" s="34"/>
      <c r="J81" s="34"/>
      <c r="K81" s="34"/>
      <c r="L81" s="34"/>
      <c r="M81" s="19"/>
      <c r="N81" s="19"/>
      <c r="O81" s="19"/>
      <c r="P81" s="7"/>
      <c r="Q81" s="7"/>
      <c r="R81" s="7"/>
      <c r="S81" s="7"/>
      <c r="T81" s="7"/>
      <c r="U81" s="7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s="15" customFormat="1" ht="20.25">
      <c r="A82" s="131" t="s">
        <v>429</v>
      </c>
      <c r="B82" s="34"/>
      <c r="C82" s="34"/>
      <c r="D82" s="34"/>
      <c r="E82" s="34"/>
      <c r="F82" s="34"/>
      <c r="G82" s="34"/>
      <c r="H82" s="171"/>
      <c r="I82" s="34"/>
      <c r="J82" s="34"/>
      <c r="K82" s="34"/>
      <c r="L82" s="34"/>
      <c r="M82" s="19"/>
      <c r="N82" s="19"/>
      <c r="O82" s="19"/>
      <c r="P82" s="7"/>
      <c r="Q82" s="7"/>
      <c r="R82" s="7"/>
      <c r="S82" s="7"/>
      <c r="T82" s="7"/>
      <c r="U82" s="7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s="15" customFormat="1" ht="20.25">
      <c r="A83" s="131" t="s">
        <v>288</v>
      </c>
      <c r="B83" s="34"/>
      <c r="C83" s="34"/>
      <c r="D83" s="34"/>
      <c r="E83" s="34"/>
      <c r="F83" s="41" t="s">
        <v>77</v>
      </c>
      <c r="G83" s="41"/>
      <c r="H83" s="172"/>
      <c r="I83" s="41"/>
      <c r="J83" s="41"/>
      <c r="K83" s="41"/>
      <c r="L83" s="41"/>
      <c r="M83" s="42"/>
      <c r="N83" s="19"/>
      <c r="O83" s="19"/>
      <c r="P83" s="7"/>
      <c r="Q83" s="7"/>
      <c r="R83" s="7"/>
      <c r="S83" s="7"/>
      <c r="T83" s="7"/>
      <c r="U83" s="7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s="15" customFormat="1" ht="20.25">
      <c r="A84" s="34"/>
      <c r="B84" s="34"/>
      <c r="C84" s="34"/>
      <c r="D84" s="34"/>
      <c r="E84" s="34"/>
      <c r="F84" s="34" t="s">
        <v>78</v>
      </c>
      <c r="G84" s="34"/>
      <c r="H84" s="171"/>
      <c r="I84" s="34"/>
      <c r="J84" s="34"/>
      <c r="K84" s="34"/>
      <c r="L84" s="34"/>
      <c r="M84" s="19"/>
      <c r="N84" s="19"/>
      <c r="O84" s="19"/>
      <c r="P84" s="7"/>
      <c r="Q84" s="7"/>
      <c r="R84" s="7"/>
      <c r="S84" s="7"/>
      <c r="T84" s="7"/>
      <c r="U84" s="7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s="15" customFormat="1" ht="20.25">
      <c r="A85" s="19" t="s">
        <v>55</v>
      </c>
      <c r="B85" s="43"/>
      <c r="C85" s="43"/>
      <c r="D85" s="44"/>
      <c r="E85" s="241">
        <f>ROUND('BDI Composição - declaração'!D30/100,4)</f>
        <v>0.2209</v>
      </c>
      <c r="F85" s="34"/>
      <c r="G85" s="34"/>
      <c r="H85" s="171"/>
      <c r="I85" s="34"/>
      <c r="J85" s="34"/>
      <c r="K85" s="34"/>
      <c r="L85" s="34"/>
      <c r="M85" s="19"/>
      <c r="N85" s="19"/>
      <c r="O85" s="19"/>
      <c r="P85" s="7"/>
      <c r="Q85" s="7"/>
      <c r="R85" s="7"/>
      <c r="S85" s="7"/>
      <c r="T85" s="7"/>
      <c r="U85" s="7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5" ht="20.25">
      <c r="A86" s="19" t="s">
        <v>375</v>
      </c>
      <c r="B86" s="43"/>
      <c r="E86" s="241">
        <f>'BDI Insumos - declaração'!D30/100</f>
        <v>0.168</v>
      </c>
    </row>
  </sheetData>
  <sheetProtection/>
  <mergeCells count="15">
    <mergeCell ref="M6:O6"/>
    <mergeCell ref="M9:O9"/>
    <mergeCell ref="A9:A10"/>
    <mergeCell ref="B9:D9"/>
    <mergeCell ref="E9:E10"/>
    <mergeCell ref="M7:O7"/>
    <mergeCell ref="A5:D5"/>
    <mergeCell ref="F9:F10"/>
    <mergeCell ref="H9:H10"/>
    <mergeCell ref="I9:I10"/>
    <mergeCell ref="A4:O4"/>
    <mergeCell ref="G9:G10"/>
    <mergeCell ref="J9:L9"/>
    <mergeCell ref="A6:D6"/>
    <mergeCell ref="A7:D7"/>
  </mergeCells>
  <printOptions/>
  <pageMargins left="0.3937007874015748" right="0.3937007874015748" top="0.3937007874015748" bottom="0.3937007874015748" header="0" footer="0"/>
  <pageSetup fitToHeight="0" fitToWidth="1" horizontalDpi="300" verticalDpi="300" orientation="landscape" paperSize="9" scale="51" r:id="rId1"/>
  <colBreaks count="1" manualBreakCount="1">
    <brk id="15" min="1" max="10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"/>
  <dimension ref="A1:H64"/>
  <sheetViews>
    <sheetView view="pageBreakPreview" zoomScaleNormal="130" zoomScaleSheetLayoutView="100" zoomScalePageLayoutView="0" workbookViewId="0" topLeftCell="A19">
      <selection activeCell="D24" sqref="D24"/>
    </sheetView>
  </sheetViews>
  <sheetFormatPr defaultColWidth="9.140625" defaultRowHeight="12.75"/>
  <cols>
    <col min="1" max="2" width="6.00390625" style="312" customWidth="1"/>
    <col min="3" max="3" width="34.7109375" style="312" customWidth="1"/>
    <col min="4" max="4" width="11.28125" style="312" customWidth="1"/>
    <col min="5" max="5" width="11.00390625" style="313" customWidth="1"/>
    <col min="6" max="6" width="9.140625" style="312" customWidth="1"/>
    <col min="7" max="7" width="1.57421875" style="312" customWidth="1"/>
    <col min="8" max="8" width="9.140625" style="312" customWidth="1"/>
    <col min="9" max="16384" width="9.140625" style="312" customWidth="1"/>
  </cols>
  <sheetData>
    <row r="1" spans="1:6" ht="31.5" customHeight="1">
      <c r="A1" s="725" t="s">
        <v>242</v>
      </c>
      <c r="B1" s="725"/>
      <c r="C1" s="725"/>
      <c r="D1" s="725"/>
      <c r="E1" s="725"/>
      <c r="F1" s="725"/>
    </row>
    <row r="2" ht="24.75" customHeight="1"/>
    <row r="3" spans="1:6" ht="83.25" customHeight="1">
      <c r="A3" s="726" t="str">
        <f>"         A "&amp;'BDI Composição'!G6&amp;" "&amp;'BDI Composição'!$F$6&amp;" declara para os devidos e necessários fins que na elaboração do orçamento referente ao objeto '"&amp;'BDI Composição'!$E$9&amp;"', CT nº "&amp;'BDI Composição'!$E$8&amp;", foi adotado percentual de BDI de "&amp;D30&amp;" % (conforme planilha da composição analítica abaixo) e encargos "&amp;'BDI Composição'!$E$10&amp;" em conformidade com o estabelecido no SINAPI."</f>
        <v>         A Prefeitura Municipal de Fontoura Xavier declara para os devidos e necessários fins que na elaboração do orçamento referente ao objeto ''Obra: Pavimentação Asfáltica da Estrada de Ligação à BR-386'', CT nº , foi adotado percentual de BDI de 22,09 % (conforme planilha da composição analítica abaixo) e encargos sem desoneração em conformidade com o estabelecido no SINAPI.</v>
      </c>
      <c r="B3" s="726"/>
      <c r="C3" s="726"/>
      <c r="D3" s="726"/>
      <c r="E3" s="726"/>
      <c r="F3" s="726"/>
    </row>
    <row r="4" spans="1:6" ht="34.5" customHeight="1">
      <c r="A4" s="726" t="str">
        <f>"         Declaramos ainda que a alíquota de ISSQN no município é de "&amp;'BDI Composição'!$E$21&amp;"%, a incidir sobre o "&amp;'BDI Composição'!$E$22&amp;"."</f>
        <v>         Declaramos ainda que a alíquota de ISSQN no município é de 2,5%, a incidir sobre o valor da mão de obra.</v>
      </c>
      <c r="B4" s="726"/>
      <c r="C4" s="726"/>
      <c r="D4" s="726"/>
      <c r="E4" s="726"/>
      <c r="F4" s="726"/>
    </row>
    <row r="5" spans="1:6" ht="15" customHeight="1">
      <c r="A5" s="727" t="str">
        <f>IF('BDI Composição'!E22="valor total da obra","","Para a obra em questão é considerada a relação de "&amp;'BDI Composição'!$E$23&amp;"% é mão de obra e "&amp;100-'BDI Composição'!$E$23&amp;"% é material.")</f>
        <v>Para a obra em questão é considerada a relação de 20% é mão de obra e 80% é material.</v>
      </c>
      <c r="B5" s="727"/>
      <c r="C5" s="727"/>
      <c r="D5" s="727"/>
      <c r="E5" s="727"/>
      <c r="F5" s="727"/>
    </row>
    <row r="6" spans="1:6" ht="15" customHeight="1">
      <c r="A6" s="728" t="str">
        <f>"         O regime de execução da obra será "&amp;'BDI Composição'!E19&amp;"."</f>
        <v>         O regime de execução da obra será empreitada por preço unitário.</v>
      </c>
      <c r="B6" s="728"/>
      <c r="C6" s="728"/>
      <c r="D6" s="728"/>
      <c r="E6" s="728"/>
      <c r="F6" s="728"/>
    </row>
    <row r="7" spans="1:6" ht="33.75" customHeight="1">
      <c r="A7" s="729" t="str">
        <f>"Oportunamente, declaramos que a opção de orçamento considerando os encargos "&amp;'BDI Composição'!E10&amp;" é a opção mais adequada para a Administração Pública Municipal."</f>
        <v>Oportunamente, declaramos que a opção de orçamento considerando os encargos sem desoneração é a opção mais adequada para a Administração Pública Municipal.</v>
      </c>
      <c r="B7" s="729"/>
      <c r="C7" s="729"/>
      <c r="D7" s="729"/>
      <c r="E7" s="729"/>
      <c r="F7" s="729"/>
    </row>
    <row r="8" spans="1:6" ht="38.25" customHeight="1" thickBot="1">
      <c r="A8" s="357"/>
      <c r="B8" s="357"/>
      <c r="C8" s="357"/>
      <c r="D8" s="357"/>
      <c r="E8" s="358"/>
      <c r="F8" s="358"/>
    </row>
    <row r="9" spans="1:8" ht="27.75" customHeight="1" thickBot="1">
      <c r="A9" s="718" t="s">
        <v>243</v>
      </c>
      <c r="B9" s="719"/>
      <c r="C9" s="719"/>
      <c r="D9" s="720"/>
      <c r="E9" s="359"/>
      <c r="F9" s="359"/>
      <c r="H9" s="314"/>
    </row>
    <row r="10" spans="1:8" ht="6" customHeight="1" thickBot="1">
      <c r="A10" s="360"/>
      <c r="B10" s="318"/>
      <c r="C10" s="318"/>
      <c r="D10" s="361"/>
      <c r="E10" s="362"/>
      <c r="F10" s="363"/>
      <c r="H10" s="314"/>
    </row>
    <row r="11" spans="1:8" ht="24" customHeight="1" thickBot="1">
      <c r="A11" s="691" t="s">
        <v>244</v>
      </c>
      <c r="B11" s="692"/>
      <c r="C11" s="721" t="str">
        <f>'BDI Composição'!D31</f>
        <v>2 - Construção de Rodovias e Ferrovias</v>
      </c>
      <c r="D11" s="722"/>
      <c r="E11" s="364"/>
      <c r="F11" s="364"/>
      <c r="H11" s="314"/>
    </row>
    <row r="12" spans="1:8" ht="5.25" customHeight="1" thickBot="1">
      <c r="A12" s="360"/>
      <c r="B12" s="318"/>
      <c r="C12" s="318"/>
      <c r="D12" s="361"/>
      <c r="E12" s="362"/>
      <c r="F12" s="363"/>
      <c r="H12" s="314"/>
    </row>
    <row r="13" spans="1:8" ht="14.25" thickBot="1">
      <c r="A13" s="695" t="s">
        <v>172</v>
      </c>
      <c r="B13" s="696"/>
      <c r="C13" s="696"/>
      <c r="D13" s="335" t="s">
        <v>173</v>
      </c>
      <c r="E13" s="365"/>
      <c r="F13" s="365"/>
      <c r="H13" s="314"/>
    </row>
    <row r="14" spans="1:8" ht="13.5">
      <c r="A14" s="366" t="s">
        <v>178</v>
      </c>
      <c r="B14" s="723" t="s">
        <v>179</v>
      </c>
      <c r="C14" s="724"/>
      <c r="D14" s="367">
        <f>'BDI Composição'!G34</f>
        <v>4.67</v>
      </c>
      <c r="E14" s="368"/>
      <c r="F14" s="368"/>
      <c r="H14" s="314"/>
    </row>
    <row r="15" spans="1:8" ht="13.5">
      <c r="A15" s="369" t="s">
        <v>181</v>
      </c>
      <c r="B15" s="675" t="s">
        <v>182</v>
      </c>
      <c r="C15" s="677"/>
      <c r="D15" s="367">
        <f>'BDI Composição'!G35</f>
        <v>0.74</v>
      </c>
      <c r="E15" s="368"/>
      <c r="F15" s="368"/>
      <c r="H15" s="314"/>
    </row>
    <row r="16" spans="1:8" ht="13.5">
      <c r="A16" s="369" t="s">
        <v>185</v>
      </c>
      <c r="B16" s="675" t="s">
        <v>186</v>
      </c>
      <c r="C16" s="677"/>
      <c r="D16" s="367">
        <f>'BDI Composição'!G36</f>
        <v>0.97</v>
      </c>
      <c r="E16" s="368"/>
      <c r="F16" s="368"/>
      <c r="H16" s="314"/>
    </row>
    <row r="17" spans="1:8" ht="13.5">
      <c r="A17" s="369" t="s">
        <v>189</v>
      </c>
      <c r="B17" s="675" t="s">
        <v>245</v>
      </c>
      <c r="C17" s="677"/>
      <c r="D17" s="367">
        <f>'BDI Composição'!G37</f>
        <v>1.21</v>
      </c>
      <c r="E17" s="368"/>
      <c r="F17" s="368"/>
      <c r="H17" s="314"/>
    </row>
    <row r="18" spans="1:8" ht="13.5">
      <c r="A18" s="369" t="s">
        <v>193</v>
      </c>
      <c r="B18" s="675" t="s">
        <v>194</v>
      </c>
      <c r="C18" s="677"/>
      <c r="D18" s="367">
        <f>'BDI Composição'!G38</f>
        <v>8.69</v>
      </c>
      <c r="E18" s="368"/>
      <c r="F18" s="368"/>
      <c r="H18" s="314"/>
    </row>
    <row r="19" spans="1:8" ht="13.5">
      <c r="A19" s="369" t="s">
        <v>197</v>
      </c>
      <c r="B19" s="675" t="s">
        <v>198</v>
      </c>
      <c r="C19" s="677"/>
      <c r="D19" s="367">
        <f>SUM(D20:D23)</f>
        <v>4.15</v>
      </c>
      <c r="E19" s="717"/>
      <c r="F19" s="717"/>
      <c r="H19" s="314"/>
    </row>
    <row r="20" spans="1:8" ht="13.5">
      <c r="A20" s="369"/>
      <c r="B20" s="341"/>
      <c r="C20" s="343" t="s">
        <v>87</v>
      </c>
      <c r="D20" s="370">
        <f>'BDI Composição'!G40</f>
        <v>0.65</v>
      </c>
      <c r="E20" s="717"/>
      <c r="F20" s="717"/>
      <c r="H20" s="314"/>
    </row>
    <row r="21" spans="1:8" ht="13.5">
      <c r="A21" s="369"/>
      <c r="B21" s="341"/>
      <c r="C21" s="343" t="s">
        <v>88</v>
      </c>
      <c r="D21" s="370">
        <f>'BDI Composição'!G41</f>
        <v>3</v>
      </c>
      <c r="E21" s="717"/>
      <c r="F21" s="717"/>
      <c r="H21" s="314"/>
    </row>
    <row r="22" spans="1:8" ht="13.5">
      <c r="A22" s="369"/>
      <c r="B22" s="341"/>
      <c r="C22" s="343" t="s">
        <v>246</v>
      </c>
      <c r="D22" s="370">
        <f>'BDI Composição'!G42</f>
        <v>0.5</v>
      </c>
      <c r="E22" s="717"/>
      <c r="F22" s="717"/>
      <c r="H22" s="314"/>
    </row>
    <row r="23" spans="1:8" ht="14.25" thickBot="1">
      <c r="A23" s="371"/>
      <c r="B23" s="372"/>
      <c r="C23" s="373" t="s">
        <v>247</v>
      </c>
      <c r="D23" s="374">
        <v>0</v>
      </c>
      <c r="E23" s="717"/>
      <c r="F23" s="717"/>
      <c r="H23" s="314"/>
    </row>
    <row r="24" ht="4.5" customHeight="1" thickBot="1">
      <c r="H24" s="314"/>
    </row>
    <row r="25" spans="1:8" ht="14.25" thickBot="1">
      <c r="A25" s="664" t="s">
        <v>558</v>
      </c>
      <c r="B25" s="665"/>
      <c r="C25" s="665"/>
      <c r="D25" s="666"/>
      <c r="E25" s="349"/>
      <c r="H25" s="314"/>
    </row>
    <row r="26" spans="1:8" ht="22.5" customHeight="1" thickBot="1">
      <c r="A26" s="667"/>
      <c r="B26" s="669" t="s">
        <v>208</v>
      </c>
      <c r="C26" s="375" t="s">
        <v>209</v>
      </c>
      <c r="D26" s="672">
        <v>-1</v>
      </c>
      <c r="H26" s="314"/>
    </row>
    <row r="27" spans="1:8" ht="21" customHeight="1" thickBot="1">
      <c r="A27" s="668"/>
      <c r="B27" s="670"/>
      <c r="C27" s="350" t="s">
        <v>211</v>
      </c>
      <c r="D27" s="673"/>
      <c r="H27" s="314"/>
    </row>
    <row r="28" ht="3" customHeight="1" thickBot="1">
      <c r="H28" s="314"/>
    </row>
    <row r="29" spans="1:8" ht="15" customHeight="1" thickBot="1">
      <c r="A29" s="658" t="s">
        <v>214</v>
      </c>
      <c r="B29" s="659"/>
      <c r="C29" s="659"/>
      <c r="D29" s="712"/>
      <c r="E29" s="713" t="str">
        <f>IF('BDI Composição'!G51&gt;='BDI Composição'!H51,IF('BDI Composição'!G51&lt;='BDI Composição'!I51,"De acordo com o Acórdão 2622/2013-TCU.","NÃO"),"XXX BDI FORA DOS LIMITES AC 2622/13 XXX")</f>
        <v>De acordo com o Acórdão 2622/2013-TCU.</v>
      </c>
      <c r="F29" s="714"/>
      <c r="H29" s="314"/>
    </row>
    <row r="30" spans="1:8" ht="15.75" thickBot="1">
      <c r="A30" s="715" t="s">
        <v>214</v>
      </c>
      <c r="B30" s="716"/>
      <c r="C30" s="716"/>
      <c r="D30" s="376">
        <f>100*ROUND((((1+D14/100+D15/100+D16/100)*(1+D17/100)*(1+D18/100))/(1-D19/100))-1,4)</f>
        <v>22.09</v>
      </c>
      <c r="E30" s="713"/>
      <c r="F30" s="714"/>
      <c r="H30" s="314"/>
    </row>
    <row r="31" ht="8.25" customHeight="1">
      <c r="H31" s="314"/>
    </row>
    <row r="32" ht="17.25" customHeight="1">
      <c r="H32" s="314"/>
    </row>
    <row r="33" spans="4:8" ht="15" customHeight="1">
      <c r="D33" s="710" t="str">
        <f>CONCATENATE('BDI Composição'!F6,", ",'BDI Composição'!E11)</f>
        <v>Fontoura Xavier, SINAPI 05/2021</v>
      </c>
      <c r="E33" s="710"/>
      <c r="F33" s="710"/>
      <c r="H33" s="314"/>
    </row>
    <row r="34" spans="1:8" ht="34.5" customHeight="1">
      <c r="A34" s="662"/>
      <c r="B34" s="662"/>
      <c r="C34" s="662"/>
      <c r="D34" s="662"/>
      <c r="E34" s="662"/>
      <c r="F34" s="662"/>
      <c r="H34" s="314"/>
    </row>
    <row r="35" spans="1:8" ht="11.25" customHeight="1">
      <c r="A35" s="377"/>
      <c r="B35" s="377"/>
      <c r="H35" s="314"/>
    </row>
    <row r="36" spans="1:8" ht="13.5">
      <c r="A36" s="711" t="s">
        <v>553</v>
      </c>
      <c r="B36" s="711"/>
      <c r="C36" s="711"/>
      <c r="H36" s="314"/>
    </row>
    <row r="37" spans="1:8" s="318" customFormat="1" ht="13.5">
      <c r="A37" s="709" t="s">
        <v>554</v>
      </c>
      <c r="B37" s="709"/>
      <c r="C37" s="709"/>
      <c r="E37" s="362"/>
      <c r="H37" s="316"/>
    </row>
    <row r="38" spans="1:8" s="318" customFormat="1" ht="13.5">
      <c r="A38" s="709"/>
      <c r="B38" s="709"/>
      <c r="C38" s="709"/>
      <c r="E38" s="362"/>
      <c r="H38" s="316"/>
    </row>
    <row r="39" ht="8.25" customHeight="1">
      <c r="H39" s="314"/>
    </row>
    <row r="40" spans="1:8" ht="13.5">
      <c r="A40" s="377"/>
      <c r="B40" s="377"/>
      <c r="H40" s="314"/>
    </row>
    <row r="41" spans="1:8" ht="13.5">
      <c r="A41" s="711" t="s">
        <v>556</v>
      </c>
      <c r="B41" s="711"/>
      <c r="C41" s="711"/>
      <c r="H41" s="314"/>
    </row>
    <row r="42" spans="1:8" ht="13.5">
      <c r="A42" s="709" t="s">
        <v>555</v>
      </c>
      <c r="B42" s="709"/>
      <c r="C42" s="709"/>
      <c r="H42" s="314"/>
    </row>
    <row r="43" ht="13.5">
      <c r="H43" s="314"/>
    </row>
    <row r="44" ht="13.5">
      <c r="H44" s="314"/>
    </row>
    <row r="45" ht="13.5">
      <c r="H45" s="314"/>
    </row>
    <row r="46" ht="13.5">
      <c r="H46" s="314"/>
    </row>
    <row r="47" ht="13.5">
      <c r="H47" s="314"/>
    </row>
    <row r="48" ht="13.5">
      <c r="H48" s="314"/>
    </row>
    <row r="49" ht="13.5">
      <c r="H49" s="314"/>
    </row>
    <row r="50" ht="13.5">
      <c r="H50" s="314"/>
    </row>
    <row r="51" ht="13.5">
      <c r="H51" s="314"/>
    </row>
    <row r="52" ht="13.5">
      <c r="H52" s="314"/>
    </row>
    <row r="53" ht="13.5">
      <c r="H53" s="314"/>
    </row>
    <row r="54" ht="13.5">
      <c r="H54" s="314"/>
    </row>
    <row r="55" ht="13.5">
      <c r="H55" s="314"/>
    </row>
    <row r="56" ht="13.5">
      <c r="H56" s="314"/>
    </row>
    <row r="57" ht="13.5">
      <c r="H57" s="314"/>
    </row>
    <row r="58" ht="13.5">
      <c r="H58" s="314"/>
    </row>
    <row r="59" ht="13.5">
      <c r="H59" s="314"/>
    </row>
    <row r="60" ht="13.5">
      <c r="H60" s="314"/>
    </row>
    <row r="61" ht="13.5">
      <c r="H61" s="314"/>
    </row>
    <row r="62" ht="13.5">
      <c r="H62" s="314"/>
    </row>
    <row r="63" ht="13.5">
      <c r="H63" s="314"/>
    </row>
    <row r="64" ht="13.5">
      <c r="H64" s="314"/>
    </row>
  </sheetData>
  <sheetProtection/>
  <mergeCells count="31">
    <mergeCell ref="A1:F1"/>
    <mergeCell ref="A3:F3"/>
    <mergeCell ref="A4:F4"/>
    <mergeCell ref="A5:F5"/>
    <mergeCell ref="A6:F6"/>
    <mergeCell ref="A7:F7"/>
    <mergeCell ref="A9:D9"/>
    <mergeCell ref="A11:B11"/>
    <mergeCell ref="C11:D11"/>
    <mergeCell ref="A13:C13"/>
    <mergeCell ref="B14:C14"/>
    <mergeCell ref="B15:C15"/>
    <mergeCell ref="B16:C16"/>
    <mergeCell ref="B17:C17"/>
    <mergeCell ref="B18:C18"/>
    <mergeCell ref="B19:C19"/>
    <mergeCell ref="E19:F23"/>
    <mergeCell ref="A25:D25"/>
    <mergeCell ref="A26:A27"/>
    <mergeCell ref="B26:B27"/>
    <mergeCell ref="D26:D27"/>
    <mergeCell ref="A29:D29"/>
    <mergeCell ref="E29:F30"/>
    <mergeCell ref="A30:C30"/>
    <mergeCell ref="A42:C42"/>
    <mergeCell ref="D33:F33"/>
    <mergeCell ref="A34:F34"/>
    <mergeCell ref="A36:C36"/>
    <mergeCell ref="A37:C37"/>
    <mergeCell ref="A38:C38"/>
    <mergeCell ref="A41:C41"/>
  </mergeCells>
  <dataValidations count="2">
    <dataValidation allowBlank="1" showInputMessage="1" showErrorMessage="1" error="O valor inserido está fora dos limites estabelecidos pelo acórdão 2622/2013 do TCU ou é inválido." sqref="D14:D19"/>
    <dataValidation type="decimal" allowBlank="1" showInputMessage="1" showErrorMessage="1" error="O valor inserido está fora dos limites estabelecidos pelo acórdão 2622/2013 do TCU ou é inválido." sqref="D20:D23">
      <formula1>E20</formula1>
      <formula2>F20</formula2>
    </dataValidation>
  </dataValidations>
  <printOptions/>
  <pageMargins left="0.7" right="0.7" top="0.75" bottom="0.75" header="0.3" footer="0.3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3"/>
  <dimension ref="B2:V89"/>
  <sheetViews>
    <sheetView zoomScalePageLayoutView="0" workbookViewId="0" topLeftCell="A22">
      <selection activeCell="M13" sqref="M13"/>
    </sheetView>
  </sheetViews>
  <sheetFormatPr defaultColWidth="9.140625" defaultRowHeight="12.75"/>
  <cols>
    <col min="1" max="1" width="2.28125" style="186" customWidth="1"/>
    <col min="2" max="3" width="6.00390625" style="186" customWidth="1"/>
    <col min="4" max="4" width="10.421875" style="186" customWidth="1"/>
    <col min="5" max="5" width="20.140625" style="186" customWidth="1"/>
    <col min="6" max="6" width="27.57421875" style="186" customWidth="1"/>
    <col min="7" max="7" width="11.28125" style="186" customWidth="1"/>
    <col min="8" max="8" width="11.00390625" style="187" customWidth="1"/>
    <col min="9" max="9" width="9.140625" style="186" customWidth="1"/>
    <col min="10" max="10" width="2.7109375" style="186" customWidth="1"/>
    <col min="11" max="14" width="9.140625" style="188" customWidth="1"/>
    <col min="15" max="27" width="0" style="186" hidden="1" customWidth="1"/>
    <col min="28" max="16384" width="9.140625" style="186" customWidth="1"/>
  </cols>
  <sheetData>
    <row r="2" ht="12.75">
      <c r="B2" s="185" t="s">
        <v>143</v>
      </c>
    </row>
    <row r="3" ht="12.75">
      <c r="B3" s="185" t="s">
        <v>144</v>
      </c>
    </row>
    <row r="4" ht="12.75">
      <c r="B4" s="185"/>
    </row>
    <row r="5" spans="6:9" ht="12.75">
      <c r="F5" s="189" t="str">
        <f>IF(E6="Empresa","digite o nome da empresa","digite o nome do Município")</f>
        <v>digite o nome do Município</v>
      </c>
      <c r="G5" s="188"/>
      <c r="H5" s="190" t="s">
        <v>145</v>
      </c>
      <c r="I5" s="188" t="s">
        <v>146</v>
      </c>
    </row>
    <row r="6" spans="2:17" ht="12.75">
      <c r="B6" s="191" t="s">
        <v>147</v>
      </c>
      <c r="E6" s="192" t="s">
        <v>145</v>
      </c>
      <c r="F6" s="193" t="s">
        <v>424</v>
      </c>
      <c r="G6" s="188" t="str">
        <f>IF(E6="empresa","",E6)</f>
        <v>Prefeitura Municipal de</v>
      </c>
      <c r="H6" s="188"/>
      <c r="I6" s="188"/>
      <c r="J6" s="194"/>
      <c r="L6" s="195"/>
      <c r="O6" s="194"/>
      <c r="P6" s="194"/>
      <c r="Q6" s="194"/>
    </row>
    <row r="7" spans="2:17" ht="12.75">
      <c r="B7" s="191" t="s">
        <v>148</v>
      </c>
      <c r="E7" s="730" t="str">
        <f>F6</f>
        <v>Fontoura Xavier</v>
      </c>
      <c r="F7" s="731"/>
      <c r="G7" s="188"/>
      <c r="H7" s="188"/>
      <c r="I7" s="188"/>
      <c r="J7" s="194"/>
      <c r="L7" s="195"/>
      <c r="O7" s="194"/>
      <c r="P7" s="194"/>
      <c r="Q7" s="194"/>
    </row>
    <row r="8" spans="2:17" ht="12.75">
      <c r="B8" s="191" t="s">
        <v>149</v>
      </c>
      <c r="E8" s="732"/>
      <c r="F8" s="733"/>
      <c r="H8" s="186"/>
      <c r="J8" s="194"/>
      <c r="O8" s="194"/>
      <c r="P8" s="194"/>
      <c r="Q8" s="194"/>
    </row>
    <row r="9" spans="2:17" ht="27" customHeight="1">
      <c r="B9" s="196" t="s">
        <v>150</v>
      </c>
      <c r="E9" s="734" t="str">
        <f>Orçamento!A2</f>
        <v>Obra: Pavimentação Asfáltica da Estrada de Ligação à BR-386</v>
      </c>
      <c r="F9" s="735"/>
      <c r="H9" s="186"/>
      <c r="J9" s="194"/>
      <c r="O9" s="194"/>
      <c r="P9" s="194"/>
      <c r="Q9" s="194"/>
    </row>
    <row r="10" spans="2:17" ht="12.75">
      <c r="B10" s="191" t="s">
        <v>151</v>
      </c>
      <c r="E10" s="732" t="s">
        <v>163</v>
      </c>
      <c r="F10" s="733"/>
      <c r="H10" s="186"/>
      <c r="J10" s="194"/>
      <c r="O10" s="194"/>
      <c r="P10" s="194"/>
      <c r="Q10" s="194"/>
    </row>
    <row r="11" spans="2:17" ht="12.75">
      <c r="B11" s="191" t="s">
        <v>153</v>
      </c>
      <c r="E11" s="736" t="str">
        <f>Orçamento!A81</f>
        <v>SINAPI 05/2021</v>
      </c>
      <c r="F11" s="731"/>
      <c r="H11" s="186"/>
      <c r="J11" s="194"/>
      <c r="O11" s="194"/>
      <c r="P11" s="194"/>
      <c r="Q11" s="194"/>
    </row>
    <row r="12" spans="2:17" ht="12.75">
      <c r="B12" s="191"/>
      <c r="H12" s="186"/>
      <c r="J12" s="194"/>
      <c r="O12" s="194"/>
      <c r="P12" s="194"/>
      <c r="Q12" s="194"/>
    </row>
    <row r="13" spans="2:22" ht="13.5">
      <c r="B13" s="191" t="s">
        <v>154</v>
      </c>
      <c r="E13" s="737"/>
      <c r="F13" s="737"/>
      <c r="H13" s="186"/>
      <c r="J13" s="194"/>
      <c r="K13" s="378"/>
      <c r="O13" s="194"/>
      <c r="P13" s="194"/>
      <c r="Q13" t="s">
        <v>145</v>
      </c>
      <c r="R13" t="s">
        <v>163</v>
      </c>
      <c r="S13" t="s">
        <v>155</v>
      </c>
      <c r="T13" t="s">
        <v>161</v>
      </c>
      <c r="U13" t="s">
        <v>166</v>
      </c>
      <c r="V13" t="s">
        <v>176</v>
      </c>
    </row>
    <row r="14" spans="2:22" ht="12.75">
      <c r="B14" s="738" t="s">
        <v>155</v>
      </c>
      <c r="C14" s="738"/>
      <c r="D14" s="738"/>
      <c r="E14" s="737"/>
      <c r="F14" s="737"/>
      <c r="H14" s="188" t="s">
        <v>156</v>
      </c>
      <c r="I14" s="188" t="s">
        <v>157</v>
      </c>
      <c r="J14" s="194"/>
      <c r="O14" s="194"/>
      <c r="P14" s="194"/>
      <c r="Q14" t="s">
        <v>146</v>
      </c>
      <c r="R14" t="s">
        <v>152</v>
      </c>
      <c r="S14" t="s">
        <v>248</v>
      </c>
      <c r="T14" t="s">
        <v>162</v>
      </c>
      <c r="U14" t="s">
        <v>167</v>
      </c>
      <c r="V14" t="s">
        <v>171</v>
      </c>
    </row>
    <row r="15" spans="2:22" ht="12.75">
      <c r="B15" s="197"/>
      <c r="C15" s="197"/>
      <c r="D15" s="197"/>
      <c r="E15" s="198"/>
      <c r="F15" s="198"/>
      <c r="H15" s="188"/>
      <c r="I15" s="188"/>
      <c r="J15" s="194"/>
      <c r="O15" s="194"/>
      <c r="P15" s="194"/>
      <c r="Q15"/>
      <c r="R15"/>
      <c r="S15"/>
      <c r="T15"/>
      <c r="U15"/>
      <c r="V15" t="s">
        <v>183</v>
      </c>
    </row>
    <row r="16" spans="2:22" ht="12.75">
      <c r="B16" s="191" t="s">
        <v>158</v>
      </c>
      <c r="E16" s="737"/>
      <c r="F16" s="737"/>
      <c r="H16" s="188"/>
      <c r="I16" s="188"/>
      <c r="J16" s="194"/>
      <c r="O16" s="194"/>
      <c r="P16" s="194"/>
      <c r="Q16"/>
      <c r="R16"/>
      <c r="S16"/>
      <c r="T16"/>
      <c r="U16"/>
      <c r="V16" t="s">
        <v>187</v>
      </c>
    </row>
    <row r="17" spans="2:22" ht="12.75">
      <c r="B17" s="191" t="s">
        <v>159</v>
      </c>
      <c r="E17" s="737"/>
      <c r="F17" s="737"/>
      <c r="H17" s="188"/>
      <c r="I17" s="188"/>
      <c r="J17" s="194"/>
      <c r="O17" s="194"/>
      <c r="P17" s="194"/>
      <c r="Q17"/>
      <c r="R17"/>
      <c r="S17"/>
      <c r="T17"/>
      <c r="U17"/>
      <c r="V17" t="s">
        <v>191</v>
      </c>
    </row>
    <row r="18" spans="8:22" ht="12.75">
      <c r="H18" s="188"/>
      <c r="I18" s="188"/>
      <c r="J18" s="194"/>
      <c r="O18" s="194"/>
      <c r="P18" s="194"/>
      <c r="Q18"/>
      <c r="R18"/>
      <c r="S18"/>
      <c r="T18"/>
      <c r="U18"/>
      <c r="V18" t="s">
        <v>195</v>
      </c>
    </row>
    <row r="19" spans="2:17" ht="12.75">
      <c r="B19" s="191" t="s">
        <v>160</v>
      </c>
      <c r="E19" s="737" t="s">
        <v>162</v>
      </c>
      <c r="F19" s="737"/>
      <c r="G19" s="188" t="s">
        <v>161</v>
      </c>
      <c r="H19" s="188" t="s">
        <v>162</v>
      </c>
      <c r="I19" s="188"/>
      <c r="J19" s="194"/>
      <c r="L19" s="188" t="s">
        <v>163</v>
      </c>
      <c r="M19" s="188" t="s">
        <v>152</v>
      </c>
      <c r="O19" s="194"/>
      <c r="P19" s="194"/>
      <c r="Q19" s="194"/>
    </row>
    <row r="20" spans="2:17" ht="12.75">
      <c r="B20" s="191"/>
      <c r="E20" s="191"/>
      <c r="H20" s="186"/>
      <c r="J20" s="194"/>
      <c r="O20" s="194"/>
      <c r="P20" s="194"/>
      <c r="Q20" s="194"/>
    </row>
    <row r="21" spans="2:17" ht="12.75">
      <c r="B21" s="191" t="s">
        <v>164</v>
      </c>
      <c r="E21" s="184">
        <v>2.5</v>
      </c>
      <c r="F21" s="186" t="s">
        <v>42</v>
      </c>
      <c r="G21" s="188">
        <v>2</v>
      </c>
      <c r="H21" s="188">
        <v>5</v>
      </c>
      <c r="I21" s="188"/>
      <c r="J21" s="194"/>
      <c r="O21" s="194"/>
      <c r="P21" s="194"/>
      <c r="Q21" s="194"/>
    </row>
    <row r="22" spans="2:17" ht="12.75">
      <c r="B22" s="191" t="s">
        <v>165</v>
      </c>
      <c r="E22" s="732" t="s">
        <v>166</v>
      </c>
      <c r="F22" s="733"/>
      <c r="G22" s="188"/>
      <c r="H22" s="188"/>
      <c r="I22" s="188"/>
      <c r="J22" s="194"/>
      <c r="L22" s="188" t="s">
        <v>167</v>
      </c>
      <c r="M22" s="188" t="s">
        <v>166</v>
      </c>
      <c r="O22" s="194"/>
      <c r="P22" s="194"/>
      <c r="Q22" s="194"/>
    </row>
    <row r="23" spans="2:17" ht="12.75" customHeight="1">
      <c r="B23" s="739" t="s">
        <v>168</v>
      </c>
      <c r="C23" s="739"/>
      <c r="D23" s="739"/>
      <c r="E23" s="199">
        <v>0</v>
      </c>
      <c r="F23" s="186" t="s">
        <v>42</v>
      </c>
      <c r="H23" s="186"/>
      <c r="J23" s="194"/>
      <c r="O23" s="194"/>
      <c r="P23" s="194"/>
      <c r="Q23" s="194"/>
    </row>
    <row r="24" spans="2:17" ht="12.75">
      <c r="B24" s="739"/>
      <c r="C24" s="739"/>
      <c r="D24" s="739"/>
      <c r="J24" s="194"/>
      <c r="O24" s="194"/>
      <c r="P24" s="194"/>
      <c r="Q24" s="194"/>
    </row>
    <row r="25" spans="2:17" ht="5.25" customHeight="1">
      <c r="B25" s="739"/>
      <c r="C25" s="739"/>
      <c r="D25" s="739"/>
      <c r="J25" s="194"/>
      <c r="O25" s="194"/>
      <c r="P25" s="194"/>
      <c r="Q25" s="194"/>
    </row>
    <row r="26" spans="2:17" ht="5.25" customHeight="1">
      <c r="B26" s="739"/>
      <c r="C26" s="739"/>
      <c r="D26" s="739"/>
      <c r="J26" s="194"/>
      <c r="O26" s="194"/>
      <c r="P26" s="194"/>
      <c r="Q26" s="194"/>
    </row>
    <row r="27" ht="5.25" customHeight="1"/>
    <row r="28" ht="5.25" customHeight="1" thickBot="1"/>
    <row r="29" spans="2:17" ht="15.75" thickBot="1">
      <c r="B29" s="740" t="s">
        <v>169</v>
      </c>
      <c r="C29" s="741"/>
      <c r="D29" s="741"/>
      <c r="E29" s="741"/>
      <c r="F29" s="741"/>
      <c r="G29" s="741"/>
      <c r="H29" s="741"/>
      <c r="I29" s="742"/>
      <c r="O29" s="188"/>
      <c r="P29" s="188"/>
      <c r="Q29" s="188"/>
    </row>
    <row r="30" spans="15:17" ht="6" customHeight="1" thickBot="1">
      <c r="O30" s="188"/>
      <c r="P30" s="188"/>
      <c r="Q30" s="188"/>
    </row>
    <row r="31" spans="2:17" ht="26.25" customHeight="1" thickBot="1">
      <c r="B31" s="743" t="s">
        <v>170</v>
      </c>
      <c r="C31" s="744"/>
      <c r="D31" s="745" t="s">
        <v>195</v>
      </c>
      <c r="E31" s="745"/>
      <c r="F31" s="745"/>
      <c r="G31" s="745"/>
      <c r="H31" s="745"/>
      <c r="I31" s="746"/>
      <c r="O31" s="188"/>
      <c r="P31" s="188"/>
      <c r="Q31" s="188"/>
    </row>
    <row r="32" spans="15:17" ht="5.25" customHeight="1" thickBot="1">
      <c r="O32" s="188"/>
      <c r="P32" s="188"/>
      <c r="Q32" s="188"/>
    </row>
    <row r="33" spans="2:17" ht="13.5" thickBot="1">
      <c r="B33" s="747" t="s">
        <v>172</v>
      </c>
      <c r="C33" s="748"/>
      <c r="D33" s="748"/>
      <c r="E33" s="748"/>
      <c r="F33" s="748"/>
      <c r="G33" s="200" t="s">
        <v>173</v>
      </c>
      <c r="H33" s="200" t="s">
        <v>174</v>
      </c>
      <c r="I33" s="201" t="s">
        <v>175</v>
      </c>
      <c r="M33" s="188" t="s">
        <v>176</v>
      </c>
      <c r="O33" s="188"/>
      <c r="P33" s="188" t="s">
        <v>177</v>
      </c>
      <c r="Q33" s="188" t="s">
        <v>175</v>
      </c>
    </row>
    <row r="34" spans="2:17" ht="12.75">
      <c r="B34" s="202" t="s">
        <v>178</v>
      </c>
      <c r="C34" s="749" t="s">
        <v>179</v>
      </c>
      <c r="D34" s="750"/>
      <c r="E34" s="750"/>
      <c r="F34" s="751"/>
      <c r="G34" s="112">
        <v>3.45</v>
      </c>
      <c r="H34" s="203">
        <v>1.5</v>
      </c>
      <c r="I34" s="203">
        <v>4.49</v>
      </c>
      <c r="J34" s="188" t="str">
        <f>CONCATENATE(LEFT($D$31,1),"a")</f>
        <v>6a</v>
      </c>
      <c r="K34" s="188">
        <v>0</v>
      </c>
      <c r="L34" s="188">
        <f>IF($G$51&gt;$I$51,I34,10000)</f>
        <v>10000</v>
      </c>
      <c r="M34" s="188" t="s">
        <v>171</v>
      </c>
      <c r="O34" s="188" t="s">
        <v>180</v>
      </c>
      <c r="P34" s="204">
        <v>3</v>
      </c>
      <c r="Q34" s="204">
        <v>5.5</v>
      </c>
    </row>
    <row r="35" spans="2:17" ht="12.75">
      <c r="B35" s="205" t="s">
        <v>181</v>
      </c>
      <c r="C35" s="752" t="s">
        <v>182</v>
      </c>
      <c r="D35" s="753"/>
      <c r="E35" s="753"/>
      <c r="F35" s="754"/>
      <c r="G35" s="112">
        <v>0.48</v>
      </c>
      <c r="H35" s="203">
        <v>0.3</v>
      </c>
      <c r="I35" s="203">
        <v>0.82</v>
      </c>
      <c r="J35" s="188" t="str">
        <f>CONCATENATE(LEFT($D$31,1),"b")</f>
        <v>6b</v>
      </c>
      <c r="K35" s="188">
        <v>0</v>
      </c>
      <c r="L35" s="188">
        <f>IF($G$51&gt;$I$51,I35,10000)</f>
        <v>10000</v>
      </c>
      <c r="M35" s="188" t="s">
        <v>183</v>
      </c>
      <c r="O35" s="188" t="s">
        <v>184</v>
      </c>
      <c r="P35" s="204">
        <v>0.8</v>
      </c>
      <c r="Q35" s="204">
        <v>1</v>
      </c>
    </row>
    <row r="36" spans="2:17" ht="12.75">
      <c r="B36" s="205" t="s">
        <v>185</v>
      </c>
      <c r="C36" s="752" t="s">
        <v>186</v>
      </c>
      <c r="D36" s="753"/>
      <c r="E36" s="753"/>
      <c r="F36" s="754"/>
      <c r="G36" s="112">
        <v>0.85</v>
      </c>
      <c r="H36" s="203">
        <v>0.56</v>
      </c>
      <c r="I36" s="203">
        <v>0.89</v>
      </c>
      <c r="J36" s="188" t="str">
        <f>CONCATENATE(LEFT($D$31,1),"c")</f>
        <v>6c</v>
      </c>
      <c r="K36" s="188">
        <v>0</v>
      </c>
      <c r="L36" s="188">
        <f>IF($G$51&gt;$I$51,I36,10000)</f>
        <v>10000</v>
      </c>
      <c r="M36" s="188" t="s">
        <v>187</v>
      </c>
      <c r="O36" s="188" t="s">
        <v>188</v>
      </c>
      <c r="P36" s="204">
        <v>0.97</v>
      </c>
      <c r="Q36" s="204">
        <v>1.27</v>
      </c>
    </row>
    <row r="37" spans="2:17" ht="12.75">
      <c r="B37" s="205" t="s">
        <v>189</v>
      </c>
      <c r="C37" s="752" t="s">
        <v>190</v>
      </c>
      <c r="D37" s="753"/>
      <c r="E37" s="753"/>
      <c r="F37" s="754"/>
      <c r="G37" s="112">
        <v>1.11</v>
      </c>
      <c r="H37" s="203">
        <v>0.85</v>
      </c>
      <c r="I37" s="203">
        <v>1.11</v>
      </c>
      <c r="J37" s="188" t="str">
        <f>CONCATENATE(LEFT($D$31,1),"d")</f>
        <v>6d</v>
      </c>
      <c r="K37" s="188">
        <v>0</v>
      </c>
      <c r="L37" s="188">
        <f>IF($G$51&gt;$I$51,I37,10000)</f>
        <v>10000</v>
      </c>
      <c r="M37" s="188" t="s">
        <v>191</v>
      </c>
      <c r="O37" s="188" t="s">
        <v>192</v>
      </c>
      <c r="P37" s="204">
        <v>0.59</v>
      </c>
      <c r="Q37" s="204">
        <v>1.39</v>
      </c>
    </row>
    <row r="38" spans="2:17" ht="12.75">
      <c r="B38" s="205" t="s">
        <v>193</v>
      </c>
      <c r="C38" s="752" t="s">
        <v>194</v>
      </c>
      <c r="D38" s="753"/>
      <c r="E38" s="753"/>
      <c r="F38" s="754"/>
      <c r="G38" s="112">
        <v>6.22</v>
      </c>
      <c r="H38" s="203">
        <v>3.5</v>
      </c>
      <c r="I38" s="203">
        <v>6.22</v>
      </c>
      <c r="J38" s="188" t="str">
        <f>CONCATENATE(LEFT($D$31,1),"e")</f>
        <v>6e</v>
      </c>
      <c r="K38" s="188">
        <v>0</v>
      </c>
      <c r="L38" s="188">
        <f>IF($G$51&gt;$I$51,I38,10000)</f>
        <v>10000</v>
      </c>
      <c r="M38" s="188" t="s">
        <v>195</v>
      </c>
      <c r="O38" s="188" t="s">
        <v>196</v>
      </c>
      <c r="P38" s="204">
        <v>6.16</v>
      </c>
      <c r="Q38" s="204">
        <v>8.96</v>
      </c>
    </row>
    <row r="39" spans="2:17" ht="12.75">
      <c r="B39" s="205" t="s">
        <v>197</v>
      </c>
      <c r="C39" s="755" t="s">
        <v>198</v>
      </c>
      <c r="D39" s="756"/>
      <c r="E39" s="756"/>
      <c r="F39" s="757"/>
      <c r="G39" s="113">
        <f>G40+G41+G42</f>
        <v>3.65</v>
      </c>
      <c r="H39" s="758" t="s">
        <v>199</v>
      </c>
      <c r="I39" s="759"/>
      <c r="O39" s="188" t="s">
        <v>200</v>
      </c>
      <c r="P39" s="204">
        <v>3.8</v>
      </c>
      <c r="Q39" s="204">
        <v>4.67</v>
      </c>
    </row>
    <row r="40" spans="2:17" ht="12.75">
      <c r="B40" s="205"/>
      <c r="C40" s="206"/>
      <c r="D40" s="207" t="s">
        <v>87</v>
      </c>
      <c r="E40" s="207"/>
      <c r="F40" s="209"/>
      <c r="G40" s="114">
        <v>0.65</v>
      </c>
      <c r="H40" s="760"/>
      <c r="I40" s="761"/>
      <c r="K40" s="188">
        <v>0</v>
      </c>
      <c r="L40" s="188">
        <f>IF($G$51&gt;$I$51,3,10000)</f>
        <v>10000</v>
      </c>
      <c r="O40" s="188"/>
      <c r="P40" s="204"/>
      <c r="Q40" s="204"/>
    </row>
    <row r="41" spans="2:17" ht="12.75">
      <c r="B41" s="205"/>
      <c r="C41" s="210"/>
      <c r="D41" s="211" t="s">
        <v>88</v>
      </c>
      <c r="E41" s="210"/>
      <c r="F41" s="212"/>
      <c r="G41" s="114">
        <v>3</v>
      </c>
      <c r="H41" s="760"/>
      <c r="I41" s="761"/>
      <c r="K41" s="188">
        <v>0</v>
      </c>
      <c r="L41" s="188">
        <f>IF($G$51&gt;$I$51,0.65,10000)</f>
        <v>10000</v>
      </c>
      <c r="O41" s="188"/>
      <c r="P41" s="204"/>
      <c r="Q41" s="204"/>
    </row>
    <row r="42" spans="2:17" ht="12.75">
      <c r="B42" s="205"/>
      <c r="C42" s="206"/>
      <c r="D42" s="208" t="s">
        <v>201</v>
      </c>
      <c r="E42" s="206"/>
      <c r="F42" s="209"/>
      <c r="G42" s="113">
        <f>IF(E22="valor total da obra",$E$21,$E$21*$E$23/100)</f>
        <v>0</v>
      </c>
      <c r="H42" s="760"/>
      <c r="I42" s="761"/>
      <c r="O42" s="188"/>
      <c r="P42" s="204"/>
      <c r="Q42" s="204"/>
    </row>
    <row r="43" spans="2:17" ht="12.75">
      <c r="B43" s="205"/>
      <c r="C43" s="206"/>
      <c r="D43" s="208" t="s">
        <v>202</v>
      </c>
      <c r="E43" s="206"/>
      <c r="F43" s="209"/>
      <c r="G43" s="113">
        <f>IF(E10="desonerados",4.5,0)</f>
        <v>0</v>
      </c>
      <c r="H43" s="760"/>
      <c r="I43" s="761"/>
      <c r="O43" s="188"/>
      <c r="P43" s="204"/>
      <c r="Q43" s="204"/>
    </row>
    <row r="44" spans="2:17" ht="12.75">
      <c r="B44" s="205" t="s">
        <v>197</v>
      </c>
      <c r="C44" s="752" t="s">
        <v>203</v>
      </c>
      <c r="D44" s="753"/>
      <c r="E44" s="753"/>
      <c r="F44" s="754"/>
      <c r="G44" s="113">
        <f>IF(E10="desonerados",SUM(G40:G43),G39)</f>
        <v>3.65</v>
      </c>
      <c r="H44" s="762"/>
      <c r="I44" s="763"/>
      <c r="O44" s="188" t="s">
        <v>204</v>
      </c>
      <c r="P44" s="204">
        <v>0.32</v>
      </c>
      <c r="Q44" s="204">
        <v>0.74</v>
      </c>
    </row>
    <row r="45" spans="15:17" ht="4.5" customHeight="1" thickBot="1">
      <c r="O45" s="188" t="s">
        <v>205</v>
      </c>
      <c r="P45" s="204">
        <v>0.5</v>
      </c>
      <c r="Q45" s="204">
        <v>0.97</v>
      </c>
    </row>
    <row r="46" spans="2:17" ht="13.5" thickBot="1">
      <c r="B46" s="764" t="s">
        <v>206</v>
      </c>
      <c r="C46" s="765"/>
      <c r="D46" s="765"/>
      <c r="E46" s="765"/>
      <c r="F46" s="765"/>
      <c r="G46" s="766"/>
      <c r="H46" s="213"/>
      <c r="O46" s="188" t="s">
        <v>207</v>
      </c>
      <c r="P46" s="204">
        <v>1.02</v>
      </c>
      <c r="Q46" s="204">
        <v>1.21</v>
      </c>
    </row>
    <row r="47" spans="2:17" ht="22.5" customHeight="1">
      <c r="B47" s="767"/>
      <c r="C47" s="769" t="s">
        <v>208</v>
      </c>
      <c r="D47" s="771" t="s">
        <v>209</v>
      </c>
      <c r="E47" s="771"/>
      <c r="F47" s="771"/>
      <c r="G47" s="772">
        <v>-1</v>
      </c>
      <c r="O47" s="188" t="s">
        <v>210</v>
      </c>
      <c r="P47" s="204">
        <v>6.64</v>
      </c>
      <c r="Q47" s="204">
        <v>8.69</v>
      </c>
    </row>
    <row r="48" spans="2:17" ht="21" customHeight="1" thickBot="1">
      <c r="B48" s="768"/>
      <c r="C48" s="770"/>
      <c r="D48" s="774" t="s">
        <v>211</v>
      </c>
      <c r="E48" s="774"/>
      <c r="F48" s="774"/>
      <c r="G48" s="773"/>
      <c r="O48" s="188" t="s">
        <v>212</v>
      </c>
      <c r="P48" s="204">
        <v>3.43</v>
      </c>
      <c r="Q48" s="204">
        <v>6.71</v>
      </c>
    </row>
    <row r="49" spans="15:17" ht="3" customHeight="1" thickBot="1">
      <c r="O49" s="188" t="s">
        <v>213</v>
      </c>
      <c r="P49" s="204">
        <v>0.28</v>
      </c>
      <c r="Q49" s="204">
        <v>0.75</v>
      </c>
    </row>
    <row r="50" spans="2:17" ht="15" customHeight="1" thickBot="1">
      <c r="B50" s="775" t="s">
        <v>214</v>
      </c>
      <c r="C50" s="776"/>
      <c r="D50" s="776"/>
      <c r="E50" s="776"/>
      <c r="F50" s="776"/>
      <c r="G50" s="776"/>
      <c r="H50" s="214" t="s">
        <v>174</v>
      </c>
      <c r="I50" s="215" t="s">
        <v>175</v>
      </c>
      <c r="O50" s="188" t="s">
        <v>215</v>
      </c>
      <c r="P50" s="204">
        <v>1</v>
      </c>
      <c r="Q50" s="204">
        <v>1.74</v>
      </c>
    </row>
    <row r="51" spans="2:17" ht="15">
      <c r="B51" s="777" t="str">
        <f>IF(G51&gt;I51,"BDI Sem Desoneração: ! FORA DOS LIMITES !",IF(G51&lt;H51,"BDI Sem Desoneração: ! FORA DOS LIMITES !","BDI Sem Desoneração:"))</f>
        <v>BDI Sem Desoneração:</v>
      </c>
      <c r="C51" s="777"/>
      <c r="D51" s="777"/>
      <c r="E51" s="777"/>
      <c r="F51" s="777"/>
      <c r="G51" s="115">
        <f>100*ROUND((((1+G34/100+G35/100+G36/100)*(1+G37/100)*(1+G38/100))/(1-G39/100))-1,4)</f>
        <v>16.8</v>
      </c>
      <c r="H51" s="203">
        <v>11.1</v>
      </c>
      <c r="I51" s="203">
        <v>16.8</v>
      </c>
      <c r="J51" s="188" t="str">
        <f>CONCATENATE(LEFT($D$31,1),"F")</f>
        <v>6F</v>
      </c>
      <c r="O51" s="188" t="s">
        <v>216</v>
      </c>
      <c r="P51" s="204">
        <v>0.94</v>
      </c>
      <c r="Q51" s="204">
        <v>1.17</v>
      </c>
    </row>
    <row r="52" spans="2:17" ht="15">
      <c r="B52" s="777" t="s">
        <v>217</v>
      </c>
      <c r="C52" s="777"/>
      <c r="D52" s="777"/>
      <c r="E52" s="777"/>
      <c r="F52" s="777"/>
      <c r="G52" s="116">
        <f>100*ROUND((((1+G34/100+G35/100+G36/100)*(1+G37/100)*(1+G38/100))/(1-G44/100))-1,4)</f>
        <v>16.8</v>
      </c>
      <c r="H52" s="205"/>
      <c r="I52" s="205"/>
      <c r="J52" s="188">
        <f>IF(G51&gt;I51,1,IF(G51&lt;H51,1,0))</f>
        <v>0</v>
      </c>
      <c r="O52" s="188" t="s">
        <v>218</v>
      </c>
      <c r="P52" s="204">
        <v>6.74</v>
      </c>
      <c r="Q52" s="204">
        <v>9.4</v>
      </c>
    </row>
    <row r="53" spans="2:17" ht="9" customHeight="1">
      <c r="B53" s="216"/>
      <c r="C53" s="216"/>
      <c r="D53" s="216"/>
      <c r="E53" s="216"/>
      <c r="F53" s="216"/>
      <c r="G53" s="117"/>
      <c r="I53" s="187"/>
      <c r="J53" s="188"/>
      <c r="O53" s="188"/>
      <c r="P53" s="204"/>
      <c r="Q53" s="204"/>
    </row>
    <row r="54" spans="2:17" ht="71.25" customHeight="1">
      <c r="B54" s="778" t="s">
        <v>219</v>
      </c>
      <c r="C54" s="778"/>
      <c r="D54" s="778"/>
      <c r="E54" s="778"/>
      <c r="F54" s="778"/>
      <c r="G54" s="778"/>
      <c r="H54" s="778"/>
      <c r="I54" s="778"/>
      <c r="O54" s="188"/>
      <c r="P54" s="204"/>
      <c r="Q54" s="204"/>
    </row>
    <row r="55" spans="2:17" ht="46.5" customHeight="1">
      <c r="B55" s="779" t="s">
        <v>220</v>
      </c>
      <c r="C55" s="779"/>
      <c r="D55" s="779"/>
      <c r="E55" s="779"/>
      <c r="F55" s="779"/>
      <c r="G55" s="779"/>
      <c r="H55" s="779"/>
      <c r="I55" s="779"/>
      <c r="O55" s="188" t="s">
        <v>221</v>
      </c>
      <c r="P55" s="204">
        <v>0.25</v>
      </c>
      <c r="Q55" s="204">
        <v>0.56</v>
      </c>
    </row>
    <row r="56" spans="2:17" ht="11.25" customHeight="1">
      <c r="B56" s="780" t="s">
        <v>222</v>
      </c>
      <c r="C56" s="780"/>
      <c r="D56" s="780"/>
      <c r="E56" s="780"/>
      <c r="F56" s="780"/>
      <c r="G56" s="780"/>
      <c r="H56" s="780"/>
      <c r="I56" s="780"/>
      <c r="O56" s="188" t="s">
        <v>223</v>
      </c>
      <c r="P56" s="204">
        <v>1</v>
      </c>
      <c r="Q56" s="204">
        <v>1.97</v>
      </c>
    </row>
    <row r="57" spans="2:17" ht="15.75" customHeight="1">
      <c r="B57" s="780"/>
      <c r="C57" s="780"/>
      <c r="D57" s="780"/>
      <c r="E57" s="780"/>
      <c r="F57" s="780"/>
      <c r="G57" s="780"/>
      <c r="H57" s="780"/>
      <c r="I57" s="780"/>
      <c r="O57" s="188" t="s">
        <v>224</v>
      </c>
      <c r="P57" s="204">
        <v>1.01</v>
      </c>
      <c r="Q57" s="204">
        <v>1.11</v>
      </c>
    </row>
    <row r="58" spans="15:17" ht="68.25" customHeight="1">
      <c r="O58" s="188" t="s">
        <v>225</v>
      </c>
      <c r="P58" s="204">
        <v>8</v>
      </c>
      <c r="Q58" s="204">
        <v>9.51</v>
      </c>
    </row>
    <row r="59" spans="15:17" ht="68.25" customHeight="1">
      <c r="O59" s="188" t="s">
        <v>226</v>
      </c>
      <c r="P59" s="204">
        <v>4</v>
      </c>
      <c r="Q59" s="204">
        <v>7.85</v>
      </c>
    </row>
    <row r="60" spans="15:17" ht="12.75">
      <c r="O60" s="188" t="s">
        <v>227</v>
      </c>
      <c r="P60" s="204">
        <v>0.81</v>
      </c>
      <c r="Q60" s="204">
        <v>1.99</v>
      </c>
    </row>
    <row r="61" spans="15:17" ht="12.75">
      <c r="O61" s="188" t="s">
        <v>228</v>
      </c>
      <c r="P61" s="204">
        <v>1.46</v>
      </c>
      <c r="Q61" s="204">
        <v>3.16</v>
      </c>
    </row>
    <row r="62" spans="15:17" ht="12.75">
      <c r="O62" s="188" t="s">
        <v>229</v>
      </c>
      <c r="P62" s="204">
        <v>0.94</v>
      </c>
      <c r="Q62" s="204">
        <v>1.33</v>
      </c>
    </row>
    <row r="63" spans="15:17" ht="12.75">
      <c r="O63" s="188" t="s">
        <v>230</v>
      </c>
      <c r="P63" s="204">
        <v>7.14</v>
      </c>
      <c r="Q63" s="204">
        <v>10.43</v>
      </c>
    </row>
    <row r="64" spans="15:17" ht="12.75">
      <c r="O64" s="188" t="s">
        <v>231</v>
      </c>
      <c r="P64" s="204">
        <v>1.5</v>
      </c>
      <c r="Q64" s="204">
        <v>4.49</v>
      </c>
    </row>
    <row r="65" spans="15:17" ht="12.75">
      <c r="O65" s="188" t="s">
        <v>232</v>
      </c>
      <c r="P65" s="204">
        <v>0.3</v>
      </c>
      <c r="Q65" s="204">
        <v>0.82</v>
      </c>
    </row>
    <row r="66" spans="15:17" ht="12.75">
      <c r="O66" s="188" t="s">
        <v>233</v>
      </c>
      <c r="P66" s="204">
        <v>0.56</v>
      </c>
      <c r="Q66" s="204">
        <v>0.89</v>
      </c>
    </row>
    <row r="67" spans="15:17" ht="12.75">
      <c r="O67" s="188" t="s">
        <v>234</v>
      </c>
      <c r="P67" s="204">
        <v>0.85</v>
      </c>
      <c r="Q67" s="204">
        <v>1.11</v>
      </c>
    </row>
    <row r="68" spans="15:17" ht="12.75">
      <c r="O68" s="188" t="s">
        <v>235</v>
      </c>
      <c r="P68" s="204">
        <v>3.5</v>
      </c>
      <c r="Q68" s="204">
        <v>6.22</v>
      </c>
    </row>
    <row r="69" spans="15:17" ht="12.75">
      <c r="O69" s="188" t="s">
        <v>236</v>
      </c>
      <c r="P69" s="204">
        <v>20.34</v>
      </c>
      <c r="Q69" s="204">
        <v>25</v>
      </c>
    </row>
    <row r="70" spans="15:17" ht="12.75">
      <c r="O70" s="188" t="s">
        <v>237</v>
      </c>
      <c r="P70" s="204">
        <v>19.6</v>
      </c>
      <c r="Q70" s="204">
        <v>24.23</v>
      </c>
    </row>
    <row r="71" spans="15:17" ht="12.75">
      <c r="O71" s="188" t="s">
        <v>238</v>
      </c>
      <c r="P71" s="204">
        <v>20.76</v>
      </c>
      <c r="Q71" s="204">
        <v>26.44</v>
      </c>
    </row>
    <row r="72" spans="15:17" ht="12.75">
      <c r="O72" s="188" t="s">
        <v>239</v>
      </c>
      <c r="P72" s="204">
        <v>24</v>
      </c>
      <c r="Q72" s="204">
        <v>27.86</v>
      </c>
    </row>
    <row r="73" spans="15:17" ht="12.75">
      <c r="O73" s="188" t="s">
        <v>240</v>
      </c>
      <c r="P73" s="204">
        <v>22.8</v>
      </c>
      <c r="Q73" s="204">
        <v>30.95</v>
      </c>
    </row>
    <row r="74" spans="15:17" ht="12.75">
      <c r="O74" s="188" t="s">
        <v>241</v>
      </c>
      <c r="P74" s="204">
        <v>11.1</v>
      </c>
      <c r="Q74" s="204">
        <v>16.8</v>
      </c>
    </row>
    <row r="75" spans="15:17" ht="12.75">
      <c r="O75" s="188"/>
      <c r="P75" s="188"/>
      <c r="Q75" s="188"/>
    </row>
    <row r="76" spans="15:17" ht="12.75">
      <c r="O76" s="188"/>
      <c r="P76" s="188"/>
      <c r="Q76" s="188"/>
    </row>
    <row r="77" spans="15:17" ht="12.75">
      <c r="O77" s="188"/>
      <c r="P77" s="188"/>
      <c r="Q77" s="188"/>
    </row>
    <row r="78" spans="15:17" ht="12.75">
      <c r="O78" s="188"/>
      <c r="P78" s="188"/>
      <c r="Q78" s="188"/>
    </row>
    <row r="79" spans="15:17" ht="12.75">
      <c r="O79" s="188"/>
      <c r="P79" s="188"/>
      <c r="Q79" s="188"/>
    </row>
    <row r="80" spans="15:17" ht="12.75">
      <c r="O80" s="188"/>
      <c r="P80" s="188"/>
      <c r="Q80" s="188"/>
    </row>
    <row r="81" spans="15:17" ht="12.75">
      <c r="O81" s="188"/>
      <c r="P81" s="188"/>
      <c r="Q81" s="188"/>
    </row>
    <row r="82" spans="15:17" ht="12.75">
      <c r="O82" s="188"/>
      <c r="P82" s="188"/>
      <c r="Q82" s="188"/>
    </row>
    <row r="83" spans="15:17" ht="12.75">
      <c r="O83" s="188"/>
      <c r="P83" s="188"/>
      <c r="Q83" s="188"/>
    </row>
    <row r="84" spans="15:17" ht="12.75">
      <c r="O84" s="188"/>
      <c r="P84" s="188"/>
      <c r="Q84" s="188"/>
    </row>
    <row r="85" spans="15:17" ht="12.75">
      <c r="O85" s="188"/>
      <c r="P85" s="188"/>
      <c r="Q85" s="188"/>
    </row>
    <row r="86" spans="15:17" ht="12.75">
      <c r="O86" s="188"/>
      <c r="P86" s="188"/>
      <c r="Q86" s="188"/>
    </row>
    <row r="87" spans="15:17" ht="12.75">
      <c r="O87" s="188"/>
      <c r="P87" s="188"/>
      <c r="Q87" s="188"/>
    </row>
    <row r="88" spans="15:17" ht="12.75">
      <c r="O88" s="188"/>
      <c r="P88" s="188"/>
      <c r="Q88" s="188"/>
    </row>
    <row r="89" spans="15:17" ht="12.75">
      <c r="O89" s="188"/>
      <c r="P89" s="188"/>
      <c r="Q89" s="188"/>
    </row>
  </sheetData>
  <sheetProtection/>
  <mergeCells count="37">
    <mergeCell ref="B50:G50"/>
    <mergeCell ref="B51:F51"/>
    <mergeCell ref="B52:F52"/>
    <mergeCell ref="B54:I54"/>
    <mergeCell ref="B55:I55"/>
    <mergeCell ref="B56:I57"/>
    <mergeCell ref="B46:G46"/>
    <mergeCell ref="B47:B48"/>
    <mergeCell ref="C47:C48"/>
    <mergeCell ref="D47:F47"/>
    <mergeCell ref="G47:G48"/>
    <mergeCell ref="D48:F48"/>
    <mergeCell ref="C35:F35"/>
    <mergeCell ref="C36:F36"/>
    <mergeCell ref="C37:F37"/>
    <mergeCell ref="C38:F38"/>
    <mergeCell ref="C39:F39"/>
    <mergeCell ref="H39:I44"/>
    <mergeCell ref="C44:F44"/>
    <mergeCell ref="B23:D26"/>
    <mergeCell ref="B29:I29"/>
    <mergeCell ref="B31:C31"/>
    <mergeCell ref="D31:I31"/>
    <mergeCell ref="B33:F33"/>
    <mergeCell ref="C34:F34"/>
    <mergeCell ref="B14:D14"/>
    <mergeCell ref="E14:F14"/>
    <mergeCell ref="E16:F16"/>
    <mergeCell ref="E17:F17"/>
    <mergeCell ref="E19:F19"/>
    <mergeCell ref="E22:F22"/>
    <mergeCell ref="E7:F7"/>
    <mergeCell ref="E8:F8"/>
    <mergeCell ref="E9:F9"/>
    <mergeCell ref="E10:F10"/>
    <mergeCell ref="E11:F11"/>
    <mergeCell ref="E13:F13"/>
  </mergeCells>
  <conditionalFormatting sqref="G34:G38 E21">
    <cfRule type="cellIs" priority="2" dxfId="12" operator="notBetween" stopIfTrue="1">
      <formula>$H21</formula>
      <formula>$I21</formula>
    </cfRule>
  </conditionalFormatting>
  <conditionalFormatting sqref="G51">
    <cfRule type="cellIs" priority="3" dxfId="13" operator="notBetween" stopIfTrue="1">
      <formula>$H$51</formula>
      <formula>$I$51</formula>
    </cfRule>
  </conditionalFormatting>
  <conditionalFormatting sqref="B51:F51">
    <cfRule type="expression" priority="4" dxfId="14" stopIfTrue="1">
      <formula>$J$52=1</formula>
    </cfRule>
  </conditionalFormatting>
  <conditionalFormatting sqref="E23 H23 B23">
    <cfRule type="expression" priority="5" dxfId="15" stopIfTrue="1">
      <formula>$E$22="valor total da obra"</formula>
    </cfRule>
  </conditionalFormatting>
  <conditionalFormatting sqref="B54:I54">
    <cfRule type="expression" priority="1" dxfId="16" stopIfTrue="1">
      <formula>$G$51&gt;$I$51</formula>
    </cfRule>
  </conditionalFormatting>
  <conditionalFormatting sqref="F5">
    <cfRule type="expression" priority="6" dxfId="17" stopIfTrue="1">
      <formula>$E$6=0</formula>
    </cfRule>
  </conditionalFormatting>
  <dataValidations count="9">
    <dataValidation type="list" allowBlank="1" showInputMessage="1" showErrorMessage="1" sqref="D31:I31">
      <formula1>$V$13:$V$18</formula1>
    </dataValidation>
    <dataValidation type="list" allowBlank="1" showInputMessage="1" showErrorMessage="1" sqref="E22:F22">
      <formula1>$U$13:$U$14</formula1>
    </dataValidation>
    <dataValidation type="list" allowBlank="1" showInputMessage="1" showErrorMessage="1" sqref="E19:F19">
      <formula1>$T$13:$T$14</formula1>
    </dataValidation>
    <dataValidation type="list" allowBlank="1" showInputMessage="1" showErrorMessage="1" sqref="B14:D14">
      <formula1>$S$13:$S$14</formula1>
    </dataValidation>
    <dataValidation type="list" allowBlank="1" showInputMessage="1" showErrorMessage="1" sqref="E10:F10">
      <formula1>$R$13:$R$14</formula1>
    </dataValidation>
    <dataValidation type="decimal" allowBlank="1" showInputMessage="1" showErrorMessage="1" sqref="E21">
      <formula1>G21</formula1>
      <formula2>H21</formula2>
    </dataValidation>
    <dataValidation type="decimal" allowBlank="1" showInputMessage="1" showErrorMessage="1" error="O valor inserido está fora dos limites estabelecidos pelo acórdão 2622/2013 do TCU ou é inválido." sqref="G40:G41 G34:G38">
      <formula1>K40</formula1>
      <formula2>L40</formula2>
    </dataValidation>
    <dataValidation type="list" allowBlank="1" showInputMessage="1" showErrorMessage="1" sqref="B15:D15">
      <formula1>CREACAU</formula1>
    </dataValidation>
    <dataValidation type="list" allowBlank="1" showInputMessage="1" showErrorMessage="1" sqref="E6">
      <formula1>$Q$13:$Q$14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7"/>
  <dimension ref="A1:L64"/>
  <sheetViews>
    <sheetView view="pageBreakPreview" zoomScaleNormal="130" zoomScaleSheetLayoutView="100" zoomScalePageLayoutView="0" workbookViewId="0" topLeftCell="A13">
      <selection activeCell="A25" sqref="A25:D25"/>
    </sheetView>
  </sheetViews>
  <sheetFormatPr defaultColWidth="9.140625" defaultRowHeight="12.75"/>
  <cols>
    <col min="1" max="2" width="6.00390625" style="186" customWidth="1"/>
    <col min="3" max="3" width="34.7109375" style="186" customWidth="1"/>
    <col min="4" max="4" width="11.28125" style="186" customWidth="1"/>
    <col min="5" max="5" width="11.00390625" style="187" customWidth="1"/>
    <col min="6" max="6" width="9.140625" style="186" customWidth="1"/>
    <col min="7" max="7" width="1.57421875" style="186" customWidth="1"/>
    <col min="8" max="8" width="9.140625" style="186" customWidth="1"/>
    <col min="9" max="16384" width="9.140625" style="186" customWidth="1"/>
  </cols>
  <sheetData>
    <row r="1" spans="1:6" ht="31.5" customHeight="1">
      <c r="A1" s="781" t="s">
        <v>242</v>
      </c>
      <c r="B1" s="781"/>
      <c r="C1" s="781"/>
      <c r="D1" s="781"/>
      <c r="E1" s="781"/>
      <c r="F1" s="781"/>
    </row>
    <row r="2" spans="1:6" ht="24.75" customHeight="1">
      <c r="A2" s="217"/>
      <c r="B2" s="217"/>
      <c r="C2" s="217"/>
      <c r="D2" s="217"/>
      <c r="E2" s="218"/>
      <c r="F2" s="217"/>
    </row>
    <row r="3" spans="1:6" ht="73.5" customHeight="1">
      <c r="A3" s="782" t="str">
        <f>"         A "&amp;'BDI Insumos'!G6&amp;" "&amp;'BDI Insumos'!$F$6&amp;" declara para os devidos e necessários fins que na elaboração do orçamento referente ao objeto '"&amp;'BDI Insumos'!$E$9&amp;"', CT nº "&amp;'BDI Insumos'!$E$8&amp;", foi adotado percentual de BDI de "&amp;D30&amp;" % (conforme planilha da composição analítica abaixo) e encargos "&amp;'BDI Insumos'!$E$10&amp;" em conformidade com o estabelecido no SINAPI."</f>
        <v>         A Prefeitura Municipal de Fontoura Xavier declara para os devidos e necessários fins que na elaboração do orçamento referente ao objeto ''Obra: Pavimentação Asfáltica da Estrada de Ligação à BR-386'', CT nº , foi adotado percentual de BDI de 16,8 % (conforme planilha da composição analítica abaixo) e encargos sem desoneração em conformidade com o estabelecido no SINAPI.</v>
      </c>
      <c r="B3" s="782"/>
      <c r="C3" s="782"/>
      <c r="D3" s="782"/>
      <c r="E3" s="782"/>
      <c r="F3" s="782"/>
    </row>
    <row r="4" spans="1:6" ht="34.5" customHeight="1">
      <c r="A4" s="782" t="str">
        <f>"         Declaramos ainda que a alíquota de ISSQN no município é de "&amp;'BDI Insumos'!$E$21&amp;"%, a incidir sobre o "&amp;'BDI Insumos'!$E$22&amp;"."</f>
        <v>         Declaramos ainda que a alíquota de ISSQN no município é de 2,5%, a incidir sobre o valor da mão de obra.</v>
      </c>
      <c r="B4" s="782"/>
      <c r="C4" s="782"/>
      <c r="D4" s="782"/>
      <c r="E4" s="782"/>
      <c r="F4" s="782"/>
    </row>
    <row r="5" spans="1:6" ht="15" customHeight="1">
      <c r="A5" s="783" t="str">
        <f>IF('BDI Insumos'!E22="valor total da obra","","Para a obra em questão é considerada a relação de "&amp;'BDI Insumos'!$E$23&amp;"% é mão de obra e "&amp;100-'BDI Insumos'!$E$23&amp;"% é material.")</f>
        <v>Para a obra em questão é considerada a relação de 0% é mão de obra e 100% é material.</v>
      </c>
      <c r="B5" s="783"/>
      <c r="C5" s="783"/>
      <c r="D5" s="783"/>
      <c r="E5" s="783"/>
      <c r="F5" s="783"/>
    </row>
    <row r="6" spans="1:6" ht="15" customHeight="1">
      <c r="A6" s="784" t="str">
        <f>"         O regime de execução da obra será "&amp;'BDI Insumos'!E19&amp;"."</f>
        <v>         O regime de execução da obra será empreitada por preço unitário.</v>
      </c>
      <c r="B6" s="784"/>
      <c r="C6" s="784"/>
      <c r="D6" s="784"/>
      <c r="E6" s="784"/>
      <c r="F6" s="784"/>
    </row>
    <row r="7" spans="1:6" ht="33.75" customHeight="1">
      <c r="A7" s="785" t="str">
        <f>"Oportunamente, declaramos que a opção de orçamento considerando os encargos "&amp;'BDI Insumos'!E10&amp;" é a opção mais adequada para a Administração Pública Municipal."</f>
        <v>Oportunamente, declaramos que a opção de orçamento considerando os encargos sem desoneração é a opção mais adequada para a Administração Pública Municipal.</v>
      </c>
      <c r="B7" s="785"/>
      <c r="C7" s="785"/>
      <c r="D7" s="785"/>
      <c r="E7" s="785"/>
      <c r="F7" s="785"/>
    </row>
    <row r="8" spans="1:6" ht="38.25" customHeight="1" thickBot="1">
      <c r="A8" s="219"/>
      <c r="B8" s="219"/>
      <c r="C8" s="219"/>
      <c r="D8" s="219"/>
      <c r="E8" s="220"/>
      <c r="F8" s="220"/>
    </row>
    <row r="9" spans="1:12" ht="27.75" customHeight="1" thickBot="1">
      <c r="A9" s="786" t="s">
        <v>243</v>
      </c>
      <c r="B9" s="787"/>
      <c r="C9" s="787"/>
      <c r="D9" s="788"/>
      <c r="E9" s="221"/>
      <c r="F9" s="221"/>
      <c r="H9" s="188"/>
      <c r="L9" s="379"/>
    </row>
    <row r="10" spans="1:8" ht="6" customHeight="1" thickBot="1">
      <c r="A10" s="222"/>
      <c r="B10" s="217"/>
      <c r="C10" s="217"/>
      <c r="D10" s="223"/>
      <c r="E10" s="224"/>
      <c r="F10" s="225"/>
      <c r="H10" s="188"/>
    </row>
    <row r="11" spans="1:8" ht="24" customHeight="1" thickBot="1">
      <c r="A11" s="789" t="s">
        <v>244</v>
      </c>
      <c r="B11" s="790"/>
      <c r="C11" s="791" t="s">
        <v>195</v>
      </c>
      <c r="D11" s="792"/>
      <c r="E11" s="226"/>
      <c r="F11" s="226"/>
      <c r="H11" s="188"/>
    </row>
    <row r="12" spans="1:8" ht="5.25" customHeight="1" thickBot="1">
      <c r="A12" s="222"/>
      <c r="B12" s="217"/>
      <c r="C12" s="217"/>
      <c r="D12" s="223"/>
      <c r="E12" s="224"/>
      <c r="F12" s="225"/>
      <c r="H12" s="188"/>
    </row>
    <row r="13" spans="1:8" ht="13.5" thickBot="1">
      <c r="A13" s="793" t="s">
        <v>172</v>
      </c>
      <c r="B13" s="794"/>
      <c r="C13" s="794"/>
      <c r="D13" s="227" t="s">
        <v>173</v>
      </c>
      <c r="E13" s="228"/>
      <c r="F13" s="228"/>
      <c r="H13" s="188"/>
    </row>
    <row r="14" spans="1:8" ht="12.75">
      <c r="A14" s="229" t="s">
        <v>178</v>
      </c>
      <c r="B14" s="795" t="s">
        <v>179</v>
      </c>
      <c r="C14" s="796"/>
      <c r="D14" s="118">
        <v>3.45</v>
      </c>
      <c r="E14" s="230"/>
      <c r="F14" s="230"/>
      <c r="H14" s="188"/>
    </row>
    <row r="15" spans="1:8" ht="12.75">
      <c r="A15" s="231" t="s">
        <v>181</v>
      </c>
      <c r="B15" s="797" t="s">
        <v>182</v>
      </c>
      <c r="C15" s="798"/>
      <c r="D15" s="118">
        <v>0.48</v>
      </c>
      <c r="E15" s="230"/>
      <c r="F15" s="230"/>
      <c r="H15" s="188"/>
    </row>
    <row r="16" spans="1:8" ht="12.75">
      <c r="A16" s="231" t="s">
        <v>185</v>
      </c>
      <c r="B16" s="797" t="s">
        <v>186</v>
      </c>
      <c r="C16" s="798"/>
      <c r="D16" s="118">
        <v>0.85</v>
      </c>
      <c r="E16" s="230"/>
      <c r="F16" s="230"/>
      <c r="H16" s="188"/>
    </row>
    <row r="17" spans="1:8" ht="12.75">
      <c r="A17" s="231" t="s">
        <v>189</v>
      </c>
      <c r="B17" s="797" t="s">
        <v>245</v>
      </c>
      <c r="C17" s="798"/>
      <c r="D17" s="118">
        <v>1.11</v>
      </c>
      <c r="E17" s="230"/>
      <c r="F17" s="230"/>
      <c r="H17" s="188"/>
    </row>
    <row r="18" spans="1:8" ht="12.75">
      <c r="A18" s="231" t="s">
        <v>193</v>
      </c>
      <c r="B18" s="797" t="s">
        <v>194</v>
      </c>
      <c r="C18" s="798"/>
      <c r="D18" s="118">
        <v>6.22</v>
      </c>
      <c r="E18" s="230"/>
      <c r="F18" s="230"/>
      <c r="H18" s="188"/>
    </row>
    <row r="19" spans="1:8" ht="12.75">
      <c r="A19" s="231" t="s">
        <v>197</v>
      </c>
      <c r="B19" s="797" t="s">
        <v>198</v>
      </c>
      <c r="C19" s="798"/>
      <c r="D19" s="118">
        <f>SUM(D20:D23)</f>
        <v>3.65</v>
      </c>
      <c r="E19" s="799"/>
      <c r="F19" s="799"/>
      <c r="H19" s="188"/>
    </row>
    <row r="20" spans="1:8" ht="12.75">
      <c r="A20" s="231"/>
      <c r="B20" s="232"/>
      <c r="C20" s="233" t="s">
        <v>87</v>
      </c>
      <c r="D20" s="119">
        <v>0.65</v>
      </c>
      <c r="E20" s="799"/>
      <c r="F20" s="799"/>
      <c r="H20" s="188"/>
    </row>
    <row r="21" spans="1:8" ht="12.75">
      <c r="A21" s="231"/>
      <c r="B21" s="232"/>
      <c r="C21" s="233" t="s">
        <v>88</v>
      </c>
      <c r="D21" s="119">
        <v>3</v>
      </c>
      <c r="E21" s="799"/>
      <c r="F21" s="799"/>
      <c r="H21" s="188"/>
    </row>
    <row r="22" spans="1:8" ht="12.75">
      <c r="A22" s="231"/>
      <c r="B22" s="232"/>
      <c r="C22" s="233" t="s">
        <v>246</v>
      </c>
      <c r="D22" s="119">
        <v>0</v>
      </c>
      <c r="E22" s="799"/>
      <c r="F22" s="799"/>
      <c r="H22" s="188"/>
    </row>
    <row r="23" spans="1:8" ht="13.5" thickBot="1">
      <c r="A23" s="234"/>
      <c r="B23" s="235"/>
      <c r="C23" s="236" t="s">
        <v>247</v>
      </c>
      <c r="D23" s="120">
        <v>0</v>
      </c>
      <c r="E23" s="799"/>
      <c r="F23" s="799"/>
      <c r="H23" s="188"/>
    </row>
    <row r="24" spans="1:8" ht="4.5" customHeight="1" thickBot="1">
      <c r="A24" s="217"/>
      <c r="B24" s="217"/>
      <c r="C24" s="217"/>
      <c r="D24" s="217"/>
      <c r="E24" s="218"/>
      <c r="F24" s="217"/>
      <c r="H24" s="188"/>
    </row>
    <row r="25" spans="1:8" ht="13.5" thickBot="1">
      <c r="A25" s="800" t="s">
        <v>557</v>
      </c>
      <c r="B25" s="801"/>
      <c r="C25" s="801"/>
      <c r="D25" s="802"/>
      <c r="E25" s="237"/>
      <c r="F25" s="217"/>
      <c r="H25" s="188"/>
    </row>
    <row r="26" spans="1:8" ht="22.5" customHeight="1" thickBot="1">
      <c r="A26" s="803"/>
      <c r="B26" s="805" t="s">
        <v>208</v>
      </c>
      <c r="C26" s="238" t="s">
        <v>209</v>
      </c>
      <c r="D26" s="807">
        <v>-1</v>
      </c>
      <c r="E26" s="218"/>
      <c r="F26" s="217"/>
      <c r="H26" s="188"/>
    </row>
    <row r="27" spans="1:8" ht="21" customHeight="1" thickBot="1">
      <c r="A27" s="804"/>
      <c r="B27" s="806"/>
      <c r="C27" s="239" t="s">
        <v>211</v>
      </c>
      <c r="D27" s="808"/>
      <c r="E27" s="218"/>
      <c r="F27" s="217"/>
      <c r="H27" s="188"/>
    </row>
    <row r="28" spans="1:8" ht="3" customHeight="1" thickBot="1">
      <c r="A28" s="217"/>
      <c r="B28" s="217"/>
      <c r="C28" s="217"/>
      <c r="D28" s="217"/>
      <c r="E28" s="218"/>
      <c r="F28" s="217"/>
      <c r="H28" s="188"/>
    </row>
    <row r="29" spans="1:8" ht="15" customHeight="1" thickBot="1">
      <c r="A29" s="809" t="s">
        <v>214</v>
      </c>
      <c r="B29" s="810"/>
      <c r="C29" s="810"/>
      <c r="D29" s="811"/>
      <c r="E29" s="812" t="s">
        <v>373</v>
      </c>
      <c r="F29" s="813"/>
      <c r="H29" s="188"/>
    </row>
    <row r="30" spans="1:8" ht="15.75" thickBot="1">
      <c r="A30" s="814" t="s">
        <v>214</v>
      </c>
      <c r="B30" s="815"/>
      <c r="C30" s="815"/>
      <c r="D30" s="121">
        <f>100*ROUND((((1+D14/100+D15/100+D16/100)*(1+D17/100)*(1+D18/100))/(1-D19/100))-1,4)</f>
        <v>16.8</v>
      </c>
      <c r="E30" s="812"/>
      <c r="F30" s="813"/>
      <c r="H30" s="188"/>
    </row>
    <row r="31" spans="1:8" ht="8.25" customHeight="1">
      <c r="A31" s="217"/>
      <c r="B31" s="217"/>
      <c r="C31" s="217"/>
      <c r="D31" s="217"/>
      <c r="E31" s="218"/>
      <c r="F31" s="217"/>
      <c r="H31" s="188"/>
    </row>
    <row r="32" spans="1:8" ht="17.25" customHeight="1">
      <c r="A32" s="217"/>
      <c r="B32" s="217"/>
      <c r="C32" s="217"/>
      <c r="D32" s="217"/>
      <c r="E32" s="218"/>
      <c r="F32" s="217"/>
      <c r="H32" s="188"/>
    </row>
    <row r="33" spans="1:8" ht="15" customHeight="1">
      <c r="A33" s="217"/>
      <c r="B33" s="217"/>
      <c r="C33" s="217"/>
      <c r="D33" s="817" t="str">
        <f>CONCATENATE('BDI Insumos'!F6,", ",'BDI Insumos'!E11)</f>
        <v>Fontoura Xavier, SINAPI 05/2021</v>
      </c>
      <c r="E33" s="817"/>
      <c r="F33" s="817"/>
      <c r="H33" s="188"/>
    </row>
    <row r="34" spans="1:8" ht="34.5" customHeight="1">
      <c r="A34" s="818"/>
      <c r="B34" s="818"/>
      <c r="C34" s="818"/>
      <c r="D34" s="818"/>
      <c r="E34" s="818"/>
      <c r="F34" s="818"/>
      <c r="H34" s="188"/>
    </row>
    <row r="35" spans="1:8" ht="11.25" customHeight="1">
      <c r="A35" s="240"/>
      <c r="B35" s="240"/>
      <c r="C35" s="217"/>
      <c r="D35" s="217"/>
      <c r="E35" s="218"/>
      <c r="F35" s="217"/>
      <c r="H35" s="188"/>
    </row>
    <row r="36" spans="1:8" ht="12.75">
      <c r="A36" s="819" t="s">
        <v>559</v>
      </c>
      <c r="B36" s="819"/>
      <c r="C36" s="819"/>
      <c r="D36" s="217"/>
      <c r="E36" s="218"/>
      <c r="F36" s="217"/>
      <c r="H36" s="188"/>
    </row>
    <row r="37" spans="1:8" ht="12.75">
      <c r="A37" s="816" t="s">
        <v>560</v>
      </c>
      <c r="B37" s="816"/>
      <c r="C37" s="816"/>
      <c r="D37" s="217"/>
      <c r="E37" s="224"/>
      <c r="F37" s="217"/>
      <c r="H37" s="188"/>
    </row>
    <row r="38" spans="1:8" ht="12.75">
      <c r="A38" s="816"/>
      <c r="B38" s="816"/>
      <c r="C38" s="816"/>
      <c r="D38" s="217"/>
      <c r="E38" s="224"/>
      <c r="F38" s="217"/>
      <c r="H38" s="188"/>
    </row>
    <row r="39" spans="1:8" ht="8.25" customHeight="1">
      <c r="A39" s="217"/>
      <c r="B39" s="217"/>
      <c r="C39" s="217"/>
      <c r="D39" s="217"/>
      <c r="E39" s="218"/>
      <c r="F39" s="217"/>
      <c r="H39" s="188"/>
    </row>
    <row r="40" spans="1:8" ht="12.75">
      <c r="A40" s="240"/>
      <c r="B40" s="240"/>
      <c r="C40" s="217"/>
      <c r="D40" s="217"/>
      <c r="E40" s="218"/>
      <c r="F40" s="217"/>
      <c r="H40" s="188"/>
    </row>
    <row r="41" spans="1:8" ht="12.75">
      <c r="A41" s="819" t="s">
        <v>556</v>
      </c>
      <c r="B41" s="819"/>
      <c r="C41" s="819"/>
      <c r="D41" s="217"/>
      <c r="E41" s="218"/>
      <c r="F41" s="217"/>
      <c r="H41" s="188"/>
    </row>
    <row r="42" spans="1:8" ht="12.75">
      <c r="A42" s="816" t="s">
        <v>561</v>
      </c>
      <c r="B42" s="816"/>
      <c r="C42" s="816"/>
      <c r="H42" s="188"/>
    </row>
    <row r="43" ht="12.75">
      <c r="H43" s="188"/>
    </row>
    <row r="44" ht="12.75">
      <c r="H44" s="188"/>
    </row>
    <row r="45" ht="12.75">
      <c r="H45" s="188"/>
    </row>
    <row r="46" ht="12.75">
      <c r="H46" s="188"/>
    </row>
    <row r="47" ht="12.75">
      <c r="H47" s="188"/>
    </row>
    <row r="48" ht="12.75">
      <c r="H48" s="188"/>
    </row>
    <row r="49" ht="12.75">
      <c r="H49" s="188"/>
    </row>
    <row r="50" ht="12.75">
      <c r="H50" s="188"/>
    </row>
    <row r="51" ht="12.75">
      <c r="H51" s="188"/>
    </row>
    <row r="52" ht="12.75">
      <c r="H52" s="188"/>
    </row>
    <row r="53" ht="12.75">
      <c r="H53" s="188"/>
    </row>
    <row r="54" ht="12.75">
      <c r="H54" s="188"/>
    </row>
    <row r="55" ht="12.75">
      <c r="H55" s="188"/>
    </row>
    <row r="56" ht="12.75">
      <c r="H56" s="188"/>
    </row>
    <row r="57" ht="12.75">
      <c r="H57" s="188"/>
    </row>
    <row r="58" ht="12.75">
      <c r="H58" s="188"/>
    </row>
    <row r="59" ht="12.75">
      <c r="H59" s="188"/>
    </row>
    <row r="60" ht="12.75">
      <c r="H60" s="188"/>
    </row>
    <row r="61" ht="12.75">
      <c r="H61" s="188"/>
    </row>
    <row r="62" ht="12.75">
      <c r="H62" s="188"/>
    </row>
    <row r="63" ht="12.75">
      <c r="H63" s="188"/>
    </row>
    <row r="64" ht="12.75">
      <c r="H64" s="188"/>
    </row>
  </sheetData>
  <sheetProtection/>
  <mergeCells count="31">
    <mergeCell ref="A42:C42"/>
    <mergeCell ref="D33:F33"/>
    <mergeCell ref="A34:F34"/>
    <mergeCell ref="A36:C36"/>
    <mergeCell ref="A37:C37"/>
    <mergeCell ref="A38:C38"/>
    <mergeCell ref="A41:C41"/>
    <mergeCell ref="A26:A27"/>
    <mergeCell ref="B26:B27"/>
    <mergeCell ref="D26:D27"/>
    <mergeCell ref="A29:D29"/>
    <mergeCell ref="E29:F30"/>
    <mergeCell ref="A30:C30"/>
    <mergeCell ref="B16:C16"/>
    <mergeCell ref="B17:C17"/>
    <mergeCell ref="B18:C18"/>
    <mergeCell ref="B19:C19"/>
    <mergeCell ref="E19:F23"/>
    <mergeCell ref="A25:D25"/>
    <mergeCell ref="A9:D9"/>
    <mergeCell ref="A11:B11"/>
    <mergeCell ref="C11:D11"/>
    <mergeCell ref="A13:C13"/>
    <mergeCell ref="B14:C14"/>
    <mergeCell ref="B15:C15"/>
    <mergeCell ref="A1:F1"/>
    <mergeCell ref="A3:F3"/>
    <mergeCell ref="A4:F4"/>
    <mergeCell ref="A5:F5"/>
    <mergeCell ref="A6:F6"/>
    <mergeCell ref="A7:F7"/>
  </mergeCells>
  <dataValidations count="2">
    <dataValidation type="decimal" allowBlank="1" showInputMessage="1" showErrorMessage="1" error="O valor inserido está fora dos limites estabelecidos pelo acórdão 2622/2013 do TCU ou é inválido." sqref="D20:D23">
      <formula1>E20</formula1>
      <formula2>F20</formula2>
    </dataValidation>
    <dataValidation allowBlank="1" showInputMessage="1" showErrorMessage="1" error="O valor inserido está fora dos limites estabelecidos pelo acórdão 2622/2013 do TCU ou é inválido." sqref="D14:D19"/>
  </dataValidations>
  <printOptions/>
  <pageMargins left="0.7" right="0.7" top="0.75" bottom="0.75" header="0.3" footer="0.3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"/>
  <sheetViews>
    <sheetView showGridLines="0" view="pageBreakPreview" zoomScale="80" zoomScaleSheetLayoutView="80" zoomScalePageLayoutView="0" workbookViewId="0" topLeftCell="A1">
      <selection activeCell="M39" sqref="M39"/>
    </sheetView>
  </sheetViews>
  <sheetFormatPr defaultColWidth="9.140625" defaultRowHeight="12.75"/>
  <cols>
    <col min="1" max="1" width="20.7109375" style="122" customWidth="1"/>
    <col min="2" max="2" width="25.7109375" style="122" customWidth="1"/>
    <col min="3" max="3" width="52.7109375" style="129" customWidth="1"/>
    <col min="4" max="4" width="25.7109375" style="130" customWidth="1"/>
    <col min="5" max="16384" width="9.140625" style="122" customWidth="1"/>
  </cols>
  <sheetData>
    <row r="1" spans="1:4" ht="15">
      <c r="A1" s="122" t="s">
        <v>426</v>
      </c>
      <c r="B1" s="123" t="str">
        <f>Orçamento!A1</f>
        <v>PREFEITURA MUNICIPAL DE FONTOURA XAVIER</v>
      </c>
      <c r="C1" s="124"/>
      <c r="D1" s="125"/>
    </row>
    <row r="2" spans="2:4" ht="15">
      <c r="B2" s="123" t="str">
        <f>Orçamento!A2</f>
        <v>Obra: Pavimentação Asfáltica da Estrada de Ligação à BR-386</v>
      </c>
      <c r="C2" s="124"/>
      <c r="D2" s="125"/>
    </row>
    <row r="3" spans="1:4" ht="15">
      <c r="A3" s="126"/>
      <c r="C3" s="127"/>
      <c r="D3" s="128"/>
    </row>
    <row r="4" spans="2:4" ht="15">
      <c r="B4" s="820" t="s">
        <v>250</v>
      </c>
      <c r="C4" s="821"/>
      <c r="D4" s="822"/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</sheetData>
  <sheetProtection/>
  <mergeCells count="1">
    <mergeCell ref="B4:D4"/>
  </mergeCells>
  <printOptions/>
  <pageMargins left="0.3937007874015748" right="0.3937007874015748" top="1.3779527559055118" bottom="0.3937007874015748" header="0" footer="0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showGridLines="0" view="pageBreakPreview" zoomScale="80" zoomScaleNormal="60" zoomScaleSheetLayoutView="80" zoomScalePageLayoutView="0" workbookViewId="0" topLeftCell="A1">
      <selection activeCell="P116" sqref="P116"/>
    </sheetView>
  </sheetViews>
  <sheetFormatPr defaultColWidth="11.421875" defaultRowHeight="12.75"/>
  <cols>
    <col min="1" max="1" width="6.421875" style="50" customWidth="1"/>
    <col min="2" max="2" width="121.7109375" style="51" bestFit="1" customWidth="1"/>
    <col min="3" max="3" width="12.7109375" style="52" bestFit="1" customWidth="1"/>
    <col min="4" max="4" width="8.28125" style="22" customWidth="1"/>
    <col min="5" max="16384" width="11.421875" style="50" customWidth="1"/>
  </cols>
  <sheetData>
    <row r="1" spans="1:4" s="33" customFormat="1" ht="20.25">
      <c r="A1" s="34" t="str">
        <f>Orçamento!A1</f>
        <v>PREFEITURA MUNICIPAL DE FONTOURA XAVIER</v>
      </c>
      <c r="B1" s="47"/>
      <c r="C1" s="48"/>
      <c r="D1" s="49"/>
    </row>
    <row r="2" spans="1:4" s="33" customFormat="1" ht="20.25">
      <c r="A2" s="34" t="str">
        <f>Orçamento!A2</f>
        <v>Obra: Pavimentação Asfáltica da Estrada de Ligação à BR-386</v>
      </c>
      <c r="B2" s="11"/>
      <c r="C2" s="31"/>
      <c r="D2" s="32"/>
    </row>
    <row r="3" spans="2:4" s="33" customFormat="1" ht="20.25">
      <c r="B3" s="11"/>
      <c r="C3" s="12"/>
      <c r="D3" s="9"/>
    </row>
    <row r="4" spans="1:4" s="33" customFormat="1" ht="20.25">
      <c r="A4" s="526" t="s">
        <v>425</v>
      </c>
      <c r="B4" s="526"/>
      <c r="C4" s="526"/>
      <c r="D4" s="526"/>
    </row>
    <row r="5" spans="1:4" s="33" customFormat="1" ht="20.25">
      <c r="A5" s="518" t="s">
        <v>0</v>
      </c>
      <c r="B5" s="520" t="s">
        <v>1</v>
      </c>
      <c r="C5" s="522" t="s">
        <v>2</v>
      </c>
      <c r="D5" s="524" t="s">
        <v>8</v>
      </c>
    </row>
    <row r="6" spans="1:4" s="33" customFormat="1" ht="20.25">
      <c r="A6" s="519"/>
      <c r="B6" s="521"/>
      <c r="C6" s="523"/>
      <c r="D6" s="525"/>
    </row>
    <row r="7" spans="1:4" s="33" customFormat="1" ht="20.25">
      <c r="A7" s="133" t="s">
        <v>9</v>
      </c>
      <c r="B7" s="134" t="str">
        <f>IF(A7="","",VLOOKUP(A7,Orçamento!A:G,5,FALSE))</f>
        <v>PLACA DE OBRA (1,20m x 2,40m)</v>
      </c>
      <c r="C7" s="135">
        <f>IF(A7="","",VLOOKUP(A7,Orçamento!A:G,6,FALSE))</f>
        <v>2.88</v>
      </c>
      <c r="D7" s="136" t="str">
        <f>IF(A7="","",VLOOKUP(A7,Orçamento!A:G,7,FALSE))</f>
        <v>m²</v>
      </c>
    </row>
    <row r="8" spans="1:4" s="33" customFormat="1" ht="20.25">
      <c r="A8" s="37"/>
      <c r="B8" s="183" t="s">
        <v>403</v>
      </c>
      <c r="C8" s="39" t="s">
        <v>89</v>
      </c>
      <c r="D8" s="40" t="s">
        <v>89</v>
      </c>
    </row>
    <row r="9" spans="1:4" s="33" customFormat="1" ht="20.25">
      <c r="A9" s="133" t="s">
        <v>68</v>
      </c>
      <c r="B9" s="134" t="str">
        <f>IF(A9="","",VLOOKUP(A9,Orçamento!A:G,5,FALSE))</f>
        <v>MOBILIZAÇÃO E DESMOBILIZAÇÃO</v>
      </c>
      <c r="C9" s="135">
        <f>IF(A9="","",VLOOKUP(A9,Orçamento!A:G,6,FALSE))</f>
        <v>1</v>
      </c>
      <c r="D9" s="136" t="str">
        <f>IF(A9="","",VLOOKUP(A9,Orçamento!A:G,7,FALSE))</f>
        <v>und</v>
      </c>
    </row>
    <row r="10" spans="1:4" s="33" customFormat="1" ht="20.25">
      <c r="A10" s="37"/>
      <c r="B10" s="183" t="s">
        <v>290</v>
      </c>
      <c r="C10" s="39" t="s">
        <v>89</v>
      </c>
      <c r="D10" s="40" t="s">
        <v>89</v>
      </c>
    </row>
    <row r="11" spans="1:4" s="33" customFormat="1" ht="20.25">
      <c r="A11" s="133" t="s">
        <v>81</v>
      </c>
      <c r="B11" s="134" t="str">
        <f>IF(A11="","",VLOOKUP(A11,Orçamento!A:G,5,FALSE))</f>
        <v>ADMINISTRAÇÃO LOCAL DA OBRA</v>
      </c>
      <c r="C11" s="135">
        <f>IF(A11="","",VLOOKUP(A11,Orçamento!A:G,6,FALSE))</f>
        <v>4</v>
      </c>
      <c r="D11" s="136" t="str">
        <f>IF(A11="","",VLOOKUP(A11,Orçamento!A:G,7,FALSE))</f>
        <v>mês</v>
      </c>
    </row>
    <row r="12" spans="1:4" s="33" customFormat="1" ht="20.25">
      <c r="A12" s="37"/>
      <c r="B12" s="183" t="s">
        <v>292</v>
      </c>
      <c r="C12" s="39" t="s">
        <v>89</v>
      </c>
      <c r="D12" s="40" t="s">
        <v>89</v>
      </c>
    </row>
    <row r="13" spans="1:4" s="33" customFormat="1" ht="20.25">
      <c r="A13" s="133" t="s">
        <v>82</v>
      </c>
      <c r="B13" s="134" t="str">
        <f>IF(A13="","",VLOOKUP(A13,Orçamento!A:G,5,FALSE))</f>
        <v>LIMPEZA MECANIZADA DE TERRENO COM REMOCAO DE CAMADA VEGETAL</v>
      </c>
      <c r="C13" s="135">
        <f>IF(A13="","",VLOOKUP(A13,Orçamento!A:G,6,FALSE))</f>
        <v>3701.69</v>
      </c>
      <c r="D13" s="136" t="str">
        <f>IF(A13="","",VLOOKUP(A13,Orçamento!A:G,7,FALSE))</f>
        <v>m²</v>
      </c>
    </row>
    <row r="14" spans="1:4" s="33" customFormat="1" ht="36">
      <c r="A14" s="37"/>
      <c r="B14" s="183" t="s">
        <v>525</v>
      </c>
      <c r="C14" s="39" t="s">
        <v>89</v>
      </c>
      <c r="D14" s="40" t="s">
        <v>89</v>
      </c>
    </row>
    <row r="15" spans="1:4" s="33" customFormat="1" ht="36">
      <c r="A15" s="133" t="s">
        <v>274</v>
      </c>
      <c r="B15" s="134" t="str">
        <f>IF(A15="","",VLOOKUP(A15,Orçamento!A:G,5,FALSE))</f>
        <v>ESCAVAÇÃO VERTICAL A CÉU ABERTO, INCLUINDO CARGA, DESCARGA E TRANSPORTE, EM SOLO DE 1ª CATEGORIA COM ESCAVADEIRA HIDRÁULICA</v>
      </c>
      <c r="C15" s="135">
        <f>IF(A15="","",VLOOKUP(A15,Orçamento!A:G,6,FALSE))</f>
        <v>626.2279249999999</v>
      </c>
      <c r="D15" s="136" t="str">
        <f>IF(A15="","",VLOOKUP(A15,Orçamento!A:G,7,FALSE))</f>
        <v>m³</v>
      </c>
    </row>
    <row r="16" spans="1:4" ht="18">
      <c r="A16" s="37"/>
      <c r="B16" s="183" t="s">
        <v>291</v>
      </c>
      <c r="C16" s="39" t="s">
        <v>89</v>
      </c>
      <c r="D16" s="40" t="s">
        <v>89</v>
      </c>
    </row>
    <row r="17" spans="1:4" ht="18">
      <c r="A17" s="133" t="s">
        <v>275</v>
      </c>
      <c r="B17" s="134" t="str">
        <f>IF(A17="","",VLOOKUP(A17,Orçamento!A:G,5,FALSE))</f>
        <v>ESC. MECANICA PARA ACERTO DE TALUDES, EM MATERIAL DE 2ª CAT. C/ ESCAVADEIRA HIDRAULICA</v>
      </c>
      <c r="C17" s="135">
        <f>IF(A17="","",VLOOKUP(A17,Orçamento!A:G,6,FALSE))</f>
        <v>234.949735</v>
      </c>
      <c r="D17" s="136" t="str">
        <f>IF(A17="","",VLOOKUP(A17,Orçamento!A:G,7,FALSE))</f>
        <v>m³</v>
      </c>
    </row>
    <row r="18" spans="1:4" s="20" customFormat="1" ht="18">
      <c r="A18" s="37"/>
      <c r="B18" s="183" t="s">
        <v>291</v>
      </c>
      <c r="C18" s="39" t="s">
        <v>89</v>
      </c>
      <c r="D18" s="40" t="s">
        <v>89</v>
      </c>
    </row>
    <row r="19" spans="1:4" s="20" customFormat="1" ht="18">
      <c r="A19" s="133" t="s">
        <v>276</v>
      </c>
      <c r="B19" s="134" t="str">
        <f>IF(A19="","",VLOOKUP(A19,Orçamento!A:G,5,FALSE))</f>
        <v>DESMONTE DE ROCHA COM MARTELETE PNEUMÁTICO</v>
      </c>
      <c r="C19" s="135">
        <f>IF(A19="","",VLOOKUP(A19,Orçamento!A:G,6,FALSE))</f>
        <v>398.54694000000006</v>
      </c>
      <c r="D19" s="136" t="str">
        <f>IF(A19="","",VLOOKUP(A19,Orçamento!A:G,7,FALSE))</f>
        <v>m³</v>
      </c>
    </row>
    <row r="20" spans="1:4" s="20" customFormat="1" ht="18">
      <c r="A20" s="37"/>
      <c r="B20" s="183" t="s">
        <v>291</v>
      </c>
      <c r="C20" s="39" t="s">
        <v>89</v>
      </c>
      <c r="D20" s="40" t="s">
        <v>89</v>
      </c>
    </row>
    <row r="21" spans="1:4" s="20" customFormat="1" ht="18">
      <c r="A21" s="133" t="s">
        <v>277</v>
      </c>
      <c r="B21" s="134" t="str">
        <f>IF(A21="","",VLOOKUP(A21,Orçamento!A:G,5,FALSE))</f>
        <v>ESPALHAMENTO DE MATERIAL COM TRATOR DE ESTEIRAS</v>
      </c>
      <c r="C21" s="135">
        <f>IF(A21="","",VLOOKUP(A21,Orçamento!A:G,6,FALSE))</f>
        <v>1705.6</v>
      </c>
      <c r="D21" s="136" t="str">
        <f>IF(A21="","",VLOOKUP(A21,Orçamento!A:G,7,FALSE))</f>
        <v>m³</v>
      </c>
    </row>
    <row r="22" spans="1:4" s="20" customFormat="1" ht="54">
      <c r="A22" s="37"/>
      <c r="B22" s="38" t="s">
        <v>511</v>
      </c>
      <c r="C22" s="39" t="s">
        <v>89</v>
      </c>
      <c r="D22" s="40" t="s">
        <v>89</v>
      </c>
    </row>
    <row r="23" spans="1:4" s="20" customFormat="1" ht="18">
      <c r="A23" s="78" t="s">
        <v>397</v>
      </c>
      <c r="B23" s="134" t="str">
        <f>IF(A23="","",VLOOKUP(A23,Orçamento!A:G,5,FALSE))</f>
        <v>TRANSPORTE LOCAL RODOVIA PAVIMENTADA</v>
      </c>
      <c r="C23" s="135">
        <f>IF(A23="","",VLOOKUP(A23,Orçamento!A:G,6,FALSE))</f>
        <v>3566.03</v>
      </c>
      <c r="D23" s="136" t="str">
        <f>IF(A23="","",VLOOKUP(A23,Orçamento!A:G,7,FALSE))</f>
        <v>m³xkm</v>
      </c>
    </row>
    <row r="24" spans="1:4" s="20" customFormat="1" ht="36">
      <c r="A24" s="78"/>
      <c r="B24" s="79" t="s">
        <v>539</v>
      </c>
      <c r="C24" s="80"/>
      <c r="D24" s="81"/>
    </row>
    <row r="25" spans="1:4" s="20" customFormat="1" ht="36">
      <c r="A25" s="133" t="s">
        <v>279</v>
      </c>
      <c r="B25" s="134" t="str">
        <f>IF(A25="","",VLOOKUP(A25,Orçamento!A:G,5,FALSE))</f>
        <v>ESCAVAÇÃO VERTICAL A CÉU ABERTO, INCLUINDO CARGA, DESCARGA E TRANSPORTE, EM SOLO DE 1ª CATEGORIA COM ESCAVADEIRA HIDRÁULICA</v>
      </c>
      <c r="C25" s="135">
        <f>IF(A25="","",VLOOKUP(A25,Orçamento!A:G,6,FALSE))</f>
        <v>1620.26</v>
      </c>
      <c r="D25" s="136" t="str">
        <f>IF(A25="","",VLOOKUP(A25,Orçamento!A:G,7,FALSE))</f>
        <v>m³</v>
      </c>
    </row>
    <row r="26" spans="1:4" s="20" customFormat="1" ht="18">
      <c r="A26" s="37"/>
      <c r="B26" s="38" t="s">
        <v>512</v>
      </c>
      <c r="C26" s="39" t="s">
        <v>89</v>
      </c>
      <c r="D26" s="40" t="s">
        <v>89</v>
      </c>
    </row>
    <row r="27" spans="1:4" s="20" customFormat="1" ht="18">
      <c r="A27" s="133" t="s">
        <v>280</v>
      </c>
      <c r="B27" s="134" t="str">
        <f>IF(A27="","",VLOOKUP(A27,Orçamento!A:G,5,FALSE))</f>
        <v>ESPALHAMENTO DE MATERIAL COM TRATOR DE ESTEIRAS</v>
      </c>
      <c r="C27" s="135">
        <f>IF(A27="","",VLOOKUP(A27,Orçamento!A:G,6,FALSE))</f>
        <v>2106.34</v>
      </c>
      <c r="D27" s="136" t="str">
        <f>IF(A27="","",VLOOKUP(A27,Orçamento!A:G,7,FALSE))</f>
        <v>m³</v>
      </c>
    </row>
    <row r="28" spans="1:4" s="20" customFormat="1" ht="18">
      <c r="A28" s="37"/>
      <c r="B28" s="38" t="s">
        <v>513</v>
      </c>
      <c r="C28" s="39" t="s">
        <v>89</v>
      </c>
      <c r="D28" s="40" t="s">
        <v>89</v>
      </c>
    </row>
    <row r="29" spans="1:4" s="20" customFormat="1" ht="18">
      <c r="A29" s="133" t="s">
        <v>281</v>
      </c>
      <c r="B29" s="134" t="str">
        <f>IF(A29="","",VLOOKUP(A29,Orçamento!A:G,5,FALSE))</f>
        <v>TRANSPORTE LOCAL RODOVIA PAVIMENTADA</v>
      </c>
      <c r="C29" s="135">
        <f>IF(A29="","",VLOOKUP(A29,Orçamento!A:G,6,FALSE))</f>
        <v>8425.35</v>
      </c>
      <c r="D29" s="136" t="str">
        <f>IF(A29="","",VLOOKUP(A29,Orçamento!A:G,7,FALSE))</f>
        <v>m³xkm</v>
      </c>
    </row>
    <row r="30" spans="1:4" s="20" customFormat="1" ht="18">
      <c r="A30" s="37"/>
      <c r="B30" s="38" t="s">
        <v>514</v>
      </c>
      <c r="C30" s="39" t="s">
        <v>89</v>
      </c>
      <c r="D30" s="40" t="s">
        <v>89</v>
      </c>
    </row>
    <row r="31" spans="1:4" s="20" customFormat="1" ht="36">
      <c r="A31" s="133" t="s">
        <v>282</v>
      </c>
      <c r="B31" s="134" t="str">
        <f>IF(A31="","",VLOOKUP(A31,Orçamento!A:G,5,FALSE))</f>
        <v>REATERRO DO MATERIAL REMOVIDO COM RACHÃO ENCHIMENTO BRITA E CAMADA BLOQUEIO, INCLUSIVE COMPACTAÇÃO</v>
      </c>
      <c r="C31" s="135">
        <f>IF(A31="","",VLOOKUP(A31,Orçamento!A:G,6,FALSE))</f>
        <v>1620.26</v>
      </c>
      <c r="D31" s="136" t="str">
        <f>IF(A31="","",VLOOKUP(A31,Orçamento!A:G,7,FALSE))</f>
        <v>m³</v>
      </c>
    </row>
    <row r="32" spans="1:4" s="20" customFormat="1" ht="18">
      <c r="A32" s="37"/>
      <c r="B32" s="38" t="str">
        <f>B26</f>
        <v>1.227,47m Extensão do Trecho x 2,20m Largura de escavação x 0,30m Profundidade de escavação x 2 lados da pista</v>
      </c>
      <c r="C32" s="39" t="s">
        <v>89</v>
      </c>
      <c r="D32" s="40" t="s">
        <v>89</v>
      </c>
    </row>
    <row r="33" spans="1:4" s="20" customFormat="1" ht="18">
      <c r="A33" s="133" t="s">
        <v>283</v>
      </c>
      <c r="B33" s="134" t="str">
        <f>IF(A33="","",VLOOKUP(A33,Orçamento!A:G,5,FALSE))</f>
        <v>TRANSPORTE DO RACHÃO</v>
      </c>
      <c r="C33" s="135">
        <f>IF(A33="","",VLOOKUP(A33,Orçamento!A:G,6,FALSE))</f>
        <v>119089.11</v>
      </c>
      <c r="D33" s="136" t="str">
        <f>IF(A33="","",VLOOKUP(A33,Orçamento!A:G,7,FALSE))</f>
        <v>m³xkm</v>
      </c>
    </row>
    <row r="34" spans="1:4" s="20" customFormat="1" ht="36">
      <c r="A34" s="37"/>
      <c r="B34" s="38" t="s">
        <v>515</v>
      </c>
      <c r="C34" s="39" t="s">
        <v>89</v>
      </c>
      <c r="D34" s="40" t="s">
        <v>89</v>
      </c>
    </row>
    <row r="35" spans="1:4" s="20" customFormat="1" ht="18">
      <c r="A35" s="133" t="s">
        <v>286</v>
      </c>
      <c r="B35" s="134" t="str">
        <f>IF(A35="","",VLOOKUP(A35,Orçamento!A:G,5,FALSE))</f>
        <v>ATERRO DE GREIDE COM MATERIAL DE JAZIDA (EMPRESTIMO), INCLUSIVE COMPACTAÇÃO</v>
      </c>
      <c r="C35" s="135">
        <f>IF(A35="","",VLOOKUP(A35,Orçamento!A:G,6,FALSE))</f>
        <v>1414.3507000000002</v>
      </c>
      <c r="D35" s="136" t="str">
        <f>IF(A35="","",VLOOKUP(A35,Orçamento!A:G,7,FALSE))</f>
        <v>m³</v>
      </c>
    </row>
    <row r="36" spans="1:4" s="20" customFormat="1" ht="18">
      <c r="A36" s="37"/>
      <c r="B36" s="38" t="str">
        <f>B16</f>
        <v>Planilha de Volumes</v>
      </c>
      <c r="C36" s="39" t="s">
        <v>89</v>
      </c>
      <c r="D36" s="40" t="s">
        <v>89</v>
      </c>
    </row>
    <row r="37" spans="1:4" s="20" customFormat="1" ht="18">
      <c r="A37" s="133" t="s">
        <v>287</v>
      </c>
      <c r="B37" s="134" t="str">
        <f>IF(A37="","",VLOOKUP(A37,Orçamento!A:G,5,FALSE))</f>
        <v>TRANSPORTE COM CAMINHÃO BASCULANTE (DISTANCIA INDICADA NA COLUNA "DMT")</v>
      </c>
      <c r="C37" s="135">
        <f>IF(A37="","",VLOOKUP(A37,Orçamento!A:G,6,FALSE))</f>
        <v>7354.62</v>
      </c>
      <c r="D37" s="136" t="str">
        <f>IF(A37="","",VLOOKUP(A37,Orçamento!A:G,7,FALSE))</f>
        <v>m³xkm</v>
      </c>
    </row>
    <row r="38" spans="1:4" s="20" customFormat="1" ht="18">
      <c r="A38" s="37"/>
      <c r="B38" s="38" t="s">
        <v>516</v>
      </c>
      <c r="C38" s="39" t="s">
        <v>89</v>
      </c>
      <c r="D38" s="40" t="s">
        <v>89</v>
      </c>
    </row>
    <row r="39" spans="1:4" s="20" customFormat="1" ht="18">
      <c r="A39" s="133" t="s">
        <v>11</v>
      </c>
      <c r="B39" s="134" t="str">
        <f>IF(A39="","",VLOOKUP(A39,Orçamento!A:G,5,FALSE))</f>
        <v>REGULARIZACAO E COMPACTACAO DE SUBLEITO</v>
      </c>
      <c r="C39" s="135">
        <f>IF(A39="","",VLOOKUP(A39,Orçamento!A:G,6,FALSE))</f>
        <v>10549.83</v>
      </c>
      <c r="D39" s="136" t="str">
        <f>IF(A39="","",VLOOKUP(A39,Orçamento!A:G,7,FALSE))</f>
        <v>m²</v>
      </c>
    </row>
    <row r="40" spans="1:4" s="20" customFormat="1" ht="18">
      <c r="A40" s="37"/>
      <c r="B40" s="38" t="s">
        <v>526</v>
      </c>
      <c r="C40" s="39" t="s">
        <v>89</v>
      </c>
      <c r="D40" s="40" t="s">
        <v>89</v>
      </c>
    </row>
    <row r="41" spans="1:4" s="20" customFormat="1" ht="18">
      <c r="A41" s="133" t="s">
        <v>12</v>
      </c>
      <c r="B41" s="134" t="str">
        <f>IF(A41="","",VLOOKUP(A41,Orçamento!A:G,5,FALSE))</f>
        <v>SUB-BASE RACHÃO ENCHIMENTO BRITA E CAMADA BLOQUEIO, INCLUSIVE COMPACTAÇÃO - E= 20CM</v>
      </c>
      <c r="C41" s="135">
        <f>IF(A41="","",VLOOKUP(A41,Orçamento!A:G,6,FALSE))</f>
        <v>2035.93</v>
      </c>
      <c r="D41" s="136" t="str">
        <f>IF(A41="","",VLOOKUP(A41,Orçamento!A:G,7,FALSE))</f>
        <v>m³</v>
      </c>
    </row>
    <row r="42" spans="1:4" s="20" customFormat="1" ht="36">
      <c r="A42" s="37"/>
      <c r="B42" s="183" t="s">
        <v>527</v>
      </c>
      <c r="C42" s="39" t="s">
        <v>89</v>
      </c>
      <c r="D42" s="40" t="s">
        <v>89</v>
      </c>
    </row>
    <row r="43" spans="1:4" s="20" customFormat="1" ht="18">
      <c r="A43" s="133" t="s">
        <v>13</v>
      </c>
      <c r="B43" s="134" t="str">
        <f>IF(A43="","",VLOOKUP(A43,Orçamento!A:G,5,FALSE))</f>
        <v>BASE DE BRITA GRADUADA, INCLUSIVE COMPACTAÇÃO - E= 15CM</v>
      </c>
      <c r="C43" s="135">
        <f>IF(A43="","",VLOOKUP(A43,Orçamento!A:G,6,FALSE))</f>
        <v>1430.7</v>
      </c>
      <c r="D43" s="136" t="str">
        <f>IF(A43="","",VLOOKUP(A43,Orçamento!A:G,7,FALSE))</f>
        <v>m³</v>
      </c>
    </row>
    <row r="44" spans="1:4" s="20" customFormat="1" ht="36">
      <c r="A44" s="37"/>
      <c r="B44" s="183" t="s">
        <v>528</v>
      </c>
      <c r="C44" s="39" t="s">
        <v>89</v>
      </c>
      <c r="D44" s="40" t="s">
        <v>89</v>
      </c>
    </row>
    <row r="45" spans="1:4" s="20" customFormat="1" ht="18">
      <c r="A45" s="133" t="s">
        <v>14</v>
      </c>
      <c r="B45" s="134" t="str">
        <f>IF(A45="","",VLOOKUP(A45,Orçamento!A:G,5,FALSE))</f>
        <v>TRANSPORTE DOS MATERIAIS PETREOS</v>
      </c>
      <c r="C45" s="135">
        <f>IF(A45="","",VLOOKUP(A45,Orçamento!A:G,6,FALSE))</f>
        <v>254797.31</v>
      </c>
      <c r="D45" s="136" t="str">
        <f>IF(A45="","",VLOOKUP(A45,Orçamento!A:G,7,FALSE))</f>
        <v>m³xkm</v>
      </c>
    </row>
    <row r="46" spans="1:4" s="20" customFormat="1" ht="18">
      <c r="A46" s="37"/>
      <c r="B46" s="183" t="s">
        <v>529</v>
      </c>
      <c r="C46" s="39" t="s">
        <v>89</v>
      </c>
      <c r="D46" s="40" t="s">
        <v>89</v>
      </c>
    </row>
    <row r="47" spans="1:4" s="20" customFormat="1" ht="18">
      <c r="A47" s="133" t="s">
        <v>15</v>
      </c>
      <c r="B47" s="134" t="str">
        <f>IF(A47="","",VLOOKUP(A47,Orçamento!A:G,5,FALSE))</f>
        <v>EXECUÇÃO DE IMPRIMAÇÃO DE BASE DE BRITA GRADUADA COM MATERIAL ASFÁLTICO</v>
      </c>
      <c r="C47" s="135">
        <f>IF(A47="","",VLOOKUP(A47,Orçamento!A:G,6,FALSE))</f>
        <v>9254.24</v>
      </c>
      <c r="D47" s="136" t="str">
        <f>IF(A47="","",VLOOKUP(A47,Orçamento!A:G,7,FALSE))</f>
        <v>m²</v>
      </c>
    </row>
    <row r="48" spans="1:4" s="20" customFormat="1" ht="18">
      <c r="A48" s="37"/>
      <c r="B48" s="183" t="s">
        <v>530</v>
      </c>
      <c r="C48" s="39" t="s">
        <v>89</v>
      </c>
      <c r="D48" s="40" t="s">
        <v>89</v>
      </c>
    </row>
    <row r="49" spans="1:4" s="20" customFormat="1" ht="18">
      <c r="A49" s="133" t="s">
        <v>16</v>
      </c>
      <c r="B49" s="134" t="str">
        <f>IF(A49="","",VLOOKUP(A49,Orçamento!A:G,5,FALSE))</f>
        <v>PINTURA DE LIGACAO COM EMULSAO RR-2C</v>
      </c>
      <c r="C49" s="135">
        <f>IF(A49="","",VLOOKUP(A49,Orçamento!A:G,6,FALSE))</f>
        <v>8637.29</v>
      </c>
      <c r="D49" s="136" t="str">
        <f>IF(A49="","",VLOOKUP(A49,Orçamento!A:G,7,FALSE))</f>
        <v>m²</v>
      </c>
    </row>
    <row r="50" spans="1:4" s="20" customFormat="1" ht="18">
      <c r="A50" s="37"/>
      <c r="B50" s="38" t="s">
        <v>531</v>
      </c>
      <c r="C50" s="39" t="s">
        <v>89</v>
      </c>
      <c r="D50" s="40" t="s">
        <v>89</v>
      </c>
    </row>
    <row r="51" spans="1:4" s="20" customFormat="1" ht="18">
      <c r="A51" s="133" t="s">
        <v>17</v>
      </c>
      <c r="B51" s="134" t="str">
        <f>IF(A51="","",VLOOKUP(A51,Orçamento!A:G,5,FALSE))</f>
        <v>TRANSPORTE DE MATERIAL ASFALTICO, COM CAMINHÃO COM CAPACIDADE DE 20.000 L</v>
      </c>
      <c r="C51" s="135">
        <f>IF(A51="","",VLOOKUP(A51,Orçamento!A:G,6,FALSE))</f>
        <v>7701.31</v>
      </c>
      <c r="D51" s="136" t="str">
        <f>IF(A51="","",VLOOKUP(A51,Orçamento!A:G,7,FALSE))</f>
        <v>Tonxkm</v>
      </c>
    </row>
    <row r="52" spans="1:4" s="20" customFormat="1" ht="36">
      <c r="A52" s="37"/>
      <c r="B52" s="38" t="s">
        <v>532</v>
      </c>
      <c r="C52" s="39" t="s">
        <v>89</v>
      </c>
      <c r="D52" s="40" t="s">
        <v>89</v>
      </c>
    </row>
    <row r="53" spans="1:4" s="20" customFormat="1" ht="18">
      <c r="A53" s="133" t="s">
        <v>21</v>
      </c>
      <c r="B53" s="134" t="str">
        <f>IF(A53="","",VLOOKUP(A53,Orçamento!A:G,5,FALSE))</f>
        <v>CONCRETO BETUMINOSO USINADO A QUENTE(CBUQ),CAP 50/70, EXCLUSIVE TRANSPORTE) - E= 5cm</v>
      </c>
      <c r="C53" s="135">
        <f>IF(A53="","",VLOOKUP(A53,Orçamento!A:G,6,FALSE))</f>
        <v>431.86</v>
      </c>
      <c r="D53" s="136" t="str">
        <f>IF(A53="","",VLOOKUP(A53,Orçamento!A:G,7,FALSE))</f>
        <v>m³</v>
      </c>
    </row>
    <row r="54" spans="1:4" s="20" customFormat="1" ht="36">
      <c r="A54" s="37"/>
      <c r="B54" s="183" t="s">
        <v>533</v>
      </c>
      <c r="C54" s="39" t="s">
        <v>89</v>
      </c>
      <c r="D54" s="40" t="s">
        <v>89</v>
      </c>
    </row>
    <row r="55" spans="1:4" s="20" customFormat="1" ht="18">
      <c r="A55" s="133" t="s">
        <v>22</v>
      </c>
      <c r="B55" s="134" t="str">
        <f>IF(A55="","",VLOOKUP(A55,Orçamento!A:G,5,FALSE))</f>
        <v>TRANSPORTE DO CBUQ</v>
      </c>
      <c r="C55" s="135">
        <f>IF(A55="","",VLOOKUP(A55,Orçamento!A:G,6,FALSE))</f>
        <v>31741.71</v>
      </c>
      <c r="D55" s="136" t="str">
        <f>IF(A55="","",VLOOKUP(A55,Orçamento!A:G,7,FALSE))</f>
        <v>m³</v>
      </c>
    </row>
    <row r="56" spans="1:4" s="20" customFormat="1" ht="18">
      <c r="A56" s="37"/>
      <c r="B56" s="183" t="s">
        <v>534</v>
      </c>
      <c r="C56" s="39" t="s">
        <v>89</v>
      </c>
      <c r="D56" s="40" t="s">
        <v>89</v>
      </c>
    </row>
    <row r="57" spans="1:4" s="20" customFormat="1" ht="18">
      <c r="A57" s="133" t="s">
        <v>18</v>
      </c>
      <c r="B57" s="134" t="str">
        <f>IF(A57="","",VLOOKUP(A57,Orçamento!A:G,5,FALSE))</f>
        <v>ESCAVAÇÃO MECANIZADA DE VALA 1A  CATEGORIA</v>
      </c>
      <c r="C57" s="135">
        <f>IF(A57="","",VLOOKUP(A57,Orçamento!A:G,6,FALSE))</f>
        <v>498.27400000000006</v>
      </c>
      <c r="D57" s="136" t="str">
        <f>IF(A57="","",VLOOKUP(A57,Orçamento!A:G,7,FALSE))</f>
        <v>m³</v>
      </c>
    </row>
    <row r="58" spans="1:4" ht="18">
      <c r="A58" s="37"/>
      <c r="B58" s="38" t="s">
        <v>535</v>
      </c>
      <c r="C58" s="39" t="s">
        <v>89</v>
      </c>
      <c r="D58" s="40" t="s">
        <v>89</v>
      </c>
    </row>
    <row r="59" spans="1:4" ht="18">
      <c r="A59" s="133" t="s">
        <v>19</v>
      </c>
      <c r="B59" s="134" t="str">
        <f>IF(A59="","",VLOOKUP(A59,Orçamento!A:G,5,FALSE))</f>
        <v>TRANSPORTE COM CAMINHÃO BASCULANTE (DISTANCIA INDICADA NA COLUNA "DMT")</v>
      </c>
      <c r="C59" s="135">
        <f>IF(A59="","",VLOOKUP(A59,Orçamento!A:G,6,FALSE))</f>
        <v>960.15</v>
      </c>
      <c r="D59" s="136" t="str">
        <f>IF(A59="","",VLOOKUP(A59,Orçamento!A:G,7,FALSE))</f>
        <v>m³xkm</v>
      </c>
    </row>
    <row r="60" spans="1:4" ht="18">
      <c r="A60" s="37"/>
      <c r="B60" s="38" t="str">
        <f>B58</f>
        <v>Conforme memória de cálculo de drenagem e projeto de drenagem</v>
      </c>
      <c r="C60" s="39" t="s">
        <v>89</v>
      </c>
      <c r="D60" s="40" t="s">
        <v>89</v>
      </c>
    </row>
    <row r="61" spans="1:4" ht="18">
      <c r="A61" s="133" t="s">
        <v>31</v>
      </c>
      <c r="B61" s="134" t="str">
        <f>IF(A61="","",VLOOKUP(A61,Orçamento!A:G,5,FALSE))</f>
        <v>ESPALHAMENTO DE MATERIAL EM BOTA FORA</v>
      </c>
      <c r="C61" s="135">
        <f>IF(A61="","",VLOOKUP(A61,Orçamento!A:G,6,FALSE))</f>
        <v>240.03857111139214</v>
      </c>
      <c r="D61" s="136" t="str">
        <f>IF(A61="","",VLOOKUP(A61,Orçamento!A:G,7,FALSE))</f>
        <v>m³</v>
      </c>
    </row>
    <row r="62" spans="1:4" ht="18">
      <c r="A62" s="37"/>
      <c r="B62" s="38" t="str">
        <f>B58</f>
        <v>Conforme memória de cálculo de drenagem e projeto de drenagem</v>
      </c>
      <c r="C62" s="39" t="s">
        <v>89</v>
      </c>
      <c r="D62" s="40" t="s">
        <v>89</v>
      </c>
    </row>
    <row r="63" spans="1:4" ht="18">
      <c r="A63" s="133" t="s">
        <v>32</v>
      </c>
      <c r="B63" s="134" t="str">
        <f>IF(A63="","",VLOOKUP(A63,Orçamento!A:G,5,FALSE))</f>
        <v>REATERRO DE VALA COM MATERIAL GRANULAR REAPROVEITADO</v>
      </c>
      <c r="C63" s="135">
        <f>IF(A63="","",VLOOKUP(A63,Orçamento!A:G,6,FALSE))</f>
        <v>258.2354288886079</v>
      </c>
      <c r="D63" s="136" t="str">
        <f>IF(A63="","",VLOOKUP(A63,Orçamento!A:G,7,FALSE))</f>
        <v>m³</v>
      </c>
    </row>
    <row r="64" spans="1:4" ht="18">
      <c r="A64" s="37"/>
      <c r="B64" s="38" t="str">
        <f>B58</f>
        <v>Conforme memória de cálculo de drenagem e projeto de drenagem</v>
      </c>
      <c r="C64" s="39" t="s">
        <v>89</v>
      </c>
      <c r="D64" s="40" t="s">
        <v>89</v>
      </c>
    </row>
    <row r="65" spans="1:4" ht="18">
      <c r="A65" s="133" t="s">
        <v>33</v>
      </c>
      <c r="B65" s="134" t="str">
        <f>IF(A65="","",VLOOKUP(A65,Orçamento!A:G,5,FALSE))</f>
        <v>REMOÇÃO TUBOS D=0,40m</v>
      </c>
      <c r="C65" s="135">
        <f>IF(A65="","",VLOOKUP(A65,Orçamento!A:G,6,FALSE))</f>
        <v>19</v>
      </c>
      <c r="D65" s="136" t="str">
        <f>IF(A65="","",VLOOKUP(A65,Orçamento!A:G,7,FALSE))</f>
        <v>m</v>
      </c>
    </row>
    <row r="66" spans="1:4" ht="18">
      <c r="A66" s="37"/>
      <c r="B66" s="38" t="str">
        <f>B58</f>
        <v>Conforme memória de cálculo de drenagem e projeto de drenagem</v>
      </c>
      <c r="C66" s="39" t="s">
        <v>89</v>
      </c>
      <c r="D66" s="40" t="s">
        <v>89</v>
      </c>
    </row>
    <row r="67" spans="1:4" s="22" customFormat="1" ht="18">
      <c r="A67" s="133" t="s">
        <v>34</v>
      </c>
      <c r="B67" s="134" t="str">
        <f>IF(A67="","",VLOOKUP(A67,Orçamento!A:G,5,FALSE))</f>
        <v>REMOÇÃO TUBOS D=0,60m</v>
      </c>
      <c r="C67" s="135">
        <f>IF(A67="","",VLOOKUP(A67,Orçamento!A:G,6,FALSE))</f>
        <v>0</v>
      </c>
      <c r="D67" s="136" t="str">
        <f>IF(A67="","",VLOOKUP(A67,Orçamento!A:G,7,FALSE))</f>
        <v>m</v>
      </c>
    </row>
    <row r="68" spans="1:4" s="22" customFormat="1" ht="18">
      <c r="A68" s="37"/>
      <c r="B68" s="38" t="str">
        <f>B66</f>
        <v>Conforme memória de cálculo de drenagem e projeto de drenagem</v>
      </c>
      <c r="C68" s="39" t="s">
        <v>89</v>
      </c>
      <c r="D68" s="40" t="s">
        <v>89</v>
      </c>
    </row>
    <row r="69" spans="1:4" s="22" customFormat="1" ht="18">
      <c r="A69" s="133" t="s">
        <v>35</v>
      </c>
      <c r="B69" s="134" t="str">
        <f>IF(A69="","",VLOOKUP(A69,Orçamento!A:G,5,FALSE))</f>
        <v>TUBO DE CONCRETO ARMADO DN 400MM PA-2</v>
      </c>
      <c r="C69" s="135">
        <f>IF(A69="","",VLOOKUP(A69,Orçamento!A:G,6,FALSE))</f>
        <v>100</v>
      </c>
      <c r="D69" s="136" t="str">
        <f>IF(A69="","",VLOOKUP(A69,Orçamento!A:G,7,FALSE))</f>
        <v>m</v>
      </c>
    </row>
    <row r="70" spans="1:4" s="22" customFormat="1" ht="18">
      <c r="A70" s="37"/>
      <c r="B70" s="38" t="str">
        <f>B68</f>
        <v>Conforme memória de cálculo de drenagem e projeto de drenagem</v>
      </c>
      <c r="C70" s="39" t="s">
        <v>89</v>
      </c>
      <c r="D70" s="40" t="s">
        <v>89</v>
      </c>
    </row>
    <row r="71" spans="1:4" s="22" customFormat="1" ht="36">
      <c r="A71" s="133" t="s">
        <v>36</v>
      </c>
      <c r="B71" s="134" t="str">
        <f>IF(A71="","",VLOOKUP(A71,Orçamento!A:G,5,FALSE))</f>
        <v>ASSENTAMENTO DE TUBO DE CONCRETO PARA REDES COLETORAS DE ÁGUAS PLUVIAIS,DIÂMETRO DE 400 MM, JUNTA RÍGIDA, INSTALADO EM LOCAL COM BAIXO NÍVEL DE INTERFERÊNCIAS</v>
      </c>
      <c r="C71" s="135">
        <f>IF(A71="","",VLOOKUP(A71,Orçamento!A:G,6,FALSE))</f>
        <v>100</v>
      </c>
      <c r="D71" s="136" t="str">
        <f>IF(A71="","",VLOOKUP(A71,Orçamento!A:G,7,FALSE))</f>
        <v>m</v>
      </c>
    </row>
    <row r="72" spans="1:4" s="22" customFormat="1" ht="18">
      <c r="A72" s="37"/>
      <c r="B72" s="38" t="str">
        <f>B70</f>
        <v>Conforme memória de cálculo de drenagem e projeto de drenagem</v>
      </c>
      <c r="C72" s="39" t="s">
        <v>89</v>
      </c>
      <c r="D72" s="40" t="s">
        <v>89</v>
      </c>
    </row>
    <row r="73" spans="1:4" s="22" customFormat="1" ht="18">
      <c r="A73" s="133" t="s">
        <v>37</v>
      </c>
      <c r="B73" s="134" t="str">
        <f>IF(A73="","",VLOOKUP(A73,Orçamento!A:G,5,FALSE))</f>
        <v>TUBO CONCRETO ARMADO DN 600MM PA-2</v>
      </c>
      <c r="C73" s="135">
        <f>IF(A73="","",VLOOKUP(A73,Orçamento!A:G,6,FALSE))</f>
        <v>90</v>
      </c>
      <c r="D73" s="136" t="str">
        <f>IF(A73="","",VLOOKUP(A73,Orçamento!A:G,7,FALSE))</f>
        <v>m</v>
      </c>
    </row>
    <row r="74" spans="1:4" s="22" customFormat="1" ht="18">
      <c r="A74" s="37"/>
      <c r="B74" s="38" t="str">
        <f>B72</f>
        <v>Conforme memória de cálculo de drenagem e projeto de drenagem</v>
      </c>
      <c r="C74" s="39" t="s">
        <v>89</v>
      </c>
      <c r="D74" s="40" t="s">
        <v>89</v>
      </c>
    </row>
    <row r="75" spans="1:4" s="22" customFormat="1" ht="36">
      <c r="A75" s="133" t="s">
        <v>38</v>
      </c>
      <c r="B75" s="134" t="str">
        <f>IF(A75="","",VLOOKUP(A75,Orçamento!A:G,5,FALSE))</f>
        <v>ASSENTAMENTO DE TUBO DE CONCRETO PARA REDES COLETORAS DE ÁGUAS PLUVIAIS,DIÂMETRO DE 600 MM, JUNTA RÍGIDA, INSTALADO EM LOCAL COM BAIXO NÍVEL DE INTERFERÊNCIAS</v>
      </c>
      <c r="C75" s="135">
        <f>IF(A75="","",VLOOKUP(A75,Orçamento!A:G,6,FALSE))</f>
        <v>90</v>
      </c>
      <c r="D75" s="136" t="str">
        <f>IF(A75="","",VLOOKUP(A75,Orçamento!A:G,7,FALSE))</f>
        <v>m</v>
      </c>
    </row>
    <row r="76" spans="1:4" s="22" customFormat="1" ht="18">
      <c r="A76" s="37"/>
      <c r="B76" s="38" t="str">
        <f>B74</f>
        <v>Conforme memória de cálculo de drenagem e projeto de drenagem</v>
      </c>
      <c r="C76" s="39" t="s">
        <v>89</v>
      </c>
      <c r="D76" s="40" t="s">
        <v>89</v>
      </c>
    </row>
    <row r="77" spans="1:4" s="22" customFormat="1" ht="18">
      <c r="A77" s="133" t="s">
        <v>72</v>
      </c>
      <c r="B77" s="134" t="str">
        <f>IF(A77="","",VLOOKUP(A77,Orçamento!A:G,5,FALSE))</f>
        <v>TUBO CONCRETO ARMADO DN 800MM - PA2</v>
      </c>
      <c r="C77" s="135">
        <f>IF(A77="","",VLOOKUP(A77,Orçamento!A:G,6,FALSE))</f>
        <v>20</v>
      </c>
      <c r="D77" s="136" t="str">
        <f>IF(A77="","",VLOOKUP(A77,Orçamento!A:G,7,FALSE))</f>
        <v>m</v>
      </c>
    </row>
    <row r="78" spans="1:4" s="22" customFormat="1" ht="18">
      <c r="A78" s="37"/>
      <c r="B78" s="38" t="str">
        <f>B76</f>
        <v>Conforme memória de cálculo de drenagem e projeto de drenagem</v>
      </c>
      <c r="C78" s="39" t="s">
        <v>89</v>
      </c>
      <c r="D78" s="40" t="s">
        <v>89</v>
      </c>
    </row>
    <row r="79" spans="1:4" ht="36">
      <c r="A79" s="133" t="s">
        <v>73</v>
      </c>
      <c r="B79" s="134" t="str">
        <f>IF(A79="","",VLOOKUP(A79,Orçamento!A:G,5,FALSE))</f>
        <v>ASSENTAMENTO DE TUBO DE CONCRETO PARA REDES COLETORAS DE ÁGUAS PLUVIAIS,DIÂMETRO DE 800 MM, JUNTA RÍGIDA, INSTALADO EM LOCAL COM BAIXO NÍVEL DE INTERFERÊNCIAS</v>
      </c>
      <c r="C79" s="135">
        <f>IF(A79="","",VLOOKUP(A79,Orçamento!A:G,6,FALSE))</f>
        <v>20</v>
      </c>
      <c r="D79" s="136" t="str">
        <f>IF(A79="","",VLOOKUP(A79,Orçamento!A:G,7,FALSE))</f>
        <v>m</v>
      </c>
    </row>
    <row r="80" spans="1:4" ht="18">
      <c r="A80" s="37"/>
      <c r="B80" s="38" t="str">
        <f>B78</f>
        <v>Conforme memória de cálculo de drenagem e projeto de drenagem</v>
      </c>
      <c r="C80" s="39" t="s">
        <v>89</v>
      </c>
      <c r="D80" s="40" t="s">
        <v>89</v>
      </c>
    </row>
    <row r="81" spans="1:4" ht="18">
      <c r="A81" s="133" t="s">
        <v>74</v>
      </c>
      <c r="B81" s="134" t="str">
        <f>IF(A81="","",VLOOKUP(A81,Orçamento!A:G,5,FALSE))</f>
        <v>TUBO CONCRETO ARMADO DN 1000MM - PA3</v>
      </c>
      <c r="C81" s="135">
        <f>IF(A81="","",VLOOKUP(A81,Orçamento!A:G,6,FALSE))</f>
        <v>0</v>
      </c>
      <c r="D81" s="136" t="str">
        <f>IF(A81="","",VLOOKUP(A81,Orçamento!A:G,7,FALSE))</f>
        <v>m</v>
      </c>
    </row>
    <row r="82" spans="1:4" ht="18">
      <c r="A82" s="78"/>
      <c r="B82" s="79" t="str">
        <f>B80</f>
        <v>Conforme memória de cálculo de drenagem e projeto de drenagem</v>
      </c>
      <c r="C82" s="80"/>
      <c r="D82" s="81"/>
    </row>
    <row r="83" spans="1:4" ht="36">
      <c r="A83" s="133" t="s">
        <v>412</v>
      </c>
      <c r="B83" s="134" t="str">
        <f>IF(A83="","",VLOOKUP(A83,Orçamento!A:G,5,FALSE))</f>
        <v>ASSENTAMENTO DE TUBO DE CONCRETO PARA REDES COLETORAS DE ÁGUAS PLUVIAIS,DIÂMETRO DE 1000 MM, JUNTA RÍGIDA, INSTALADO EM LOCAL COM BAIXO NÍVEL DE INTERFERÊNCIAS</v>
      </c>
      <c r="C83" s="135">
        <f>IF(A83="","",VLOOKUP(A83,Orçamento!A:G,6,FALSE))</f>
        <v>0</v>
      </c>
      <c r="D83" s="136" t="str">
        <f>IF(A83="","",VLOOKUP(A83,Orçamento!A:G,7,FALSE))</f>
        <v>m</v>
      </c>
    </row>
    <row r="84" spans="1:4" ht="18">
      <c r="A84" s="78"/>
      <c r="B84" s="79" t="str">
        <f>B82</f>
        <v>Conforme memória de cálculo de drenagem e projeto de drenagem</v>
      </c>
      <c r="C84" s="80"/>
      <c r="D84" s="81"/>
    </row>
    <row r="85" spans="1:4" ht="18">
      <c r="A85" s="133" t="s">
        <v>413</v>
      </c>
      <c r="B85" s="134" t="str">
        <f>IF(A85="","",VLOOKUP(A85,Orçamento!A:G,5,FALSE))</f>
        <v>TESTADA BSTC D=0,40m</v>
      </c>
      <c r="C85" s="135">
        <f>IF(A85="","",VLOOKUP(A85,Orçamento!A:G,6,FALSE))</f>
        <v>18</v>
      </c>
      <c r="D85" s="136" t="str">
        <f>IF(A85="","",VLOOKUP(A85,Orçamento!A:G,7,FALSE))</f>
        <v>und</v>
      </c>
    </row>
    <row r="86" spans="1:4" ht="18">
      <c r="A86" s="78"/>
      <c r="B86" s="38" t="str">
        <f>B84</f>
        <v>Conforme memória de cálculo de drenagem e projeto de drenagem</v>
      </c>
      <c r="C86" s="80"/>
      <c r="D86" s="81"/>
    </row>
    <row r="87" spans="1:4" s="22" customFormat="1" ht="18">
      <c r="A87" s="133" t="s">
        <v>414</v>
      </c>
      <c r="B87" s="134" t="str">
        <f>IF(A87="","",VLOOKUP(A87,Orçamento!A:G,5,FALSE))</f>
        <v>TESTADA BSTC D=0,60m</v>
      </c>
      <c r="C87" s="135">
        <f>IF(A87="","",VLOOKUP(A87,Orçamento!A:G,6,FALSE))</f>
        <v>14</v>
      </c>
      <c r="D87" s="136" t="str">
        <f>IF(A87="","",VLOOKUP(A87,Orçamento!A:G,7,FALSE))</f>
        <v>und</v>
      </c>
    </row>
    <row r="88" spans="1:4" s="22" customFormat="1" ht="18">
      <c r="A88" s="37"/>
      <c r="B88" s="38" t="str">
        <f>B86</f>
        <v>Conforme memória de cálculo de drenagem e projeto de drenagem</v>
      </c>
      <c r="C88" s="39" t="s">
        <v>89</v>
      </c>
      <c r="D88" s="40" t="s">
        <v>89</v>
      </c>
    </row>
    <row r="89" spans="1:4" ht="18">
      <c r="A89" s="133" t="s">
        <v>416</v>
      </c>
      <c r="B89" s="134" t="str">
        <f>IF(A89="","",VLOOKUP(A89,Orçamento!A:G,5,FALSE))</f>
        <v>BOCA PARA BUEIRO SIMPLES TUBULAR, DIAMETRO =0,80M</v>
      </c>
      <c r="C89" s="135">
        <f>IF(A89="","",VLOOKUP(A89,Orçamento!A:G,6,FALSE))</f>
        <v>2</v>
      </c>
      <c r="D89" s="136" t="str">
        <f>IF(A89="","",VLOOKUP(A89,Orçamento!A:G,7,FALSE))</f>
        <v>und</v>
      </c>
    </row>
    <row r="90" spans="1:4" ht="18">
      <c r="A90" s="37"/>
      <c r="B90" s="38" t="str">
        <f>B88</f>
        <v>Conforme memória de cálculo de drenagem e projeto de drenagem</v>
      </c>
      <c r="C90" s="39" t="s">
        <v>89</v>
      </c>
      <c r="D90" s="40" t="s">
        <v>89</v>
      </c>
    </row>
    <row r="91" spans="1:4" ht="18">
      <c r="A91" s="133" t="s">
        <v>417</v>
      </c>
      <c r="B91" s="134" t="str">
        <f>IF(A91="","",VLOOKUP(A91,Orçamento!A:G,5,FALSE))</f>
        <v>ESCAVAÇÃO MECANIZADA DE VALA 1A  CATEGORIA - VALA LATERAL</v>
      </c>
      <c r="C91" s="135">
        <f>IF(A91="","",VLOOKUP(A91,Orçamento!A:G,6,FALSE))</f>
        <v>1401.272</v>
      </c>
      <c r="D91" s="136" t="str">
        <f>IF(A91="","",VLOOKUP(A91,Orçamento!A:G,7,FALSE))</f>
        <v>m³</v>
      </c>
    </row>
    <row r="92" spans="1:4" ht="18">
      <c r="A92" s="78"/>
      <c r="B92" s="79" t="str">
        <f>B90</f>
        <v>Conforme memória de cálculo de drenagem e projeto de drenagem</v>
      </c>
      <c r="C92" s="80"/>
      <c r="D92" s="81"/>
    </row>
    <row r="93" spans="1:4" ht="18">
      <c r="A93" s="133" t="s">
        <v>421</v>
      </c>
      <c r="B93" s="134" t="str">
        <f>IF(A93="","",VLOOKUP(A93,Orçamento!A:G,5,FALSE))</f>
        <v>ESCAVAÇÃO MECANIZADA DE VALA 2A  CATEGORIA - VALA LATERAL</v>
      </c>
      <c r="C93" s="135">
        <f>IF(A93="","",VLOOKUP(A93,Orçamento!A:G,6,FALSE))</f>
        <v>366.28</v>
      </c>
      <c r="D93" s="136" t="str">
        <f>IF(A93="","",VLOOKUP(A93,Orçamento!A:G,7,FALSE))</f>
        <v>m³</v>
      </c>
    </row>
    <row r="94" spans="1:4" ht="18">
      <c r="A94" s="78"/>
      <c r="B94" s="79" t="str">
        <f>B92</f>
        <v>Conforme memória de cálculo de drenagem e projeto de drenagem</v>
      </c>
      <c r="C94" s="80"/>
      <c r="D94" s="81"/>
    </row>
    <row r="95" spans="1:4" ht="18">
      <c r="A95" s="133" t="s">
        <v>422</v>
      </c>
      <c r="B95" s="134" t="str">
        <f>IF(A95="","",VLOOKUP(A95,Orçamento!A:G,5,FALSE))</f>
        <v>ESCAVAÇÃO DE VALA EM MATERIAL DE 3ª CATEGORIA - VALA LATERAL</v>
      </c>
      <c r="C95" s="135">
        <f>IF(A95="","",VLOOKUP(A95,Orçamento!A:G,6,FALSE))</f>
        <v>196.4</v>
      </c>
      <c r="D95" s="136" t="str">
        <f>IF(A95="","",VLOOKUP(A95,Orçamento!A:G,7,FALSE))</f>
        <v>m³</v>
      </c>
    </row>
    <row r="96" spans="1:4" ht="18">
      <c r="A96" s="78"/>
      <c r="B96" s="38" t="str">
        <f>B94</f>
        <v>Conforme memória de cálculo de drenagem e projeto de drenagem</v>
      </c>
      <c r="C96" s="80"/>
      <c r="D96" s="81"/>
    </row>
    <row r="97" spans="1:4" ht="18">
      <c r="A97" s="133" t="s">
        <v>423</v>
      </c>
      <c r="B97" s="134" t="str">
        <f>IF(A97="","",VLOOKUP(A97,Orçamento!A:G,5,FALSE))</f>
        <v>TRANSPORTE COM CAMINHÃO BASCULANTE (DISTANCIA INDICADA NA COLUNA "DMT")</v>
      </c>
      <c r="C97" s="135">
        <f>IF(A97="","",VLOOKUP(A97,Orçamento!A:G,6,FALSE))</f>
        <v>10296.41</v>
      </c>
      <c r="D97" s="136" t="str">
        <f>IF(A97="","",VLOOKUP(A97,Orçamento!A:G,7,FALSE))</f>
        <v>m³xkm</v>
      </c>
    </row>
    <row r="98" spans="1:4" ht="54">
      <c r="A98" s="37"/>
      <c r="B98" s="79" t="s">
        <v>536</v>
      </c>
      <c r="C98" s="39" t="s">
        <v>89</v>
      </c>
      <c r="D98" s="40" t="s">
        <v>89</v>
      </c>
    </row>
    <row r="99" spans="1:4" ht="18">
      <c r="A99" s="133" t="s">
        <v>518</v>
      </c>
      <c r="B99" s="134" t="str">
        <f>IF(A99="","",VLOOKUP(A99,Orçamento!A:G,5,FALSE))</f>
        <v>ESPALHAMENTO DE MATERIAL EM BOTA FORA</v>
      </c>
      <c r="C99" s="135">
        <f>IF(A99="","",VLOOKUP(A99,Orçamento!A:G,6,FALSE))</f>
        <v>2574.1</v>
      </c>
      <c r="D99" s="136" t="str">
        <f>IF(A99="","",VLOOKUP(A99,Orçamento!A:G,7,FALSE))</f>
        <v>m³</v>
      </c>
    </row>
    <row r="100" spans="1:4" ht="54">
      <c r="A100" s="37"/>
      <c r="B100" s="38" t="s">
        <v>537</v>
      </c>
      <c r="C100" s="39" t="s">
        <v>89</v>
      </c>
      <c r="D100" s="40" t="s">
        <v>89</v>
      </c>
    </row>
    <row r="101" spans="1:4" ht="18">
      <c r="A101" s="133" t="s">
        <v>26</v>
      </c>
      <c r="B101" s="134" t="str">
        <f>IF(A101="","",VLOOKUP(A101,Orçamento!A:G,5,FALSE))</f>
        <v>SINALIZACAO HORIZONTAL MECANIZADA</v>
      </c>
      <c r="C101" s="135">
        <f>IF(A101="","",VLOOKUP(A101,Orçamento!A:G,6,FALSE))</f>
        <v>638.54</v>
      </c>
      <c r="D101" s="136" t="str">
        <f>IF(A101="","",VLOOKUP(A101,Orçamento!A:G,7,FALSE))</f>
        <v>m²</v>
      </c>
    </row>
    <row r="102" spans="1:4" s="22" customFormat="1" ht="18">
      <c r="A102" s="37"/>
      <c r="B102" s="183" t="s">
        <v>538</v>
      </c>
      <c r="C102" s="39" t="s">
        <v>89</v>
      </c>
      <c r="D102" s="40" t="s">
        <v>89</v>
      </c>
    </row>
    <row r="103" spans="1:4" s="22" customFormat="1" ht="18">
      <c r="A103" s="133" t="s">
        <v>27</v>
      </c>
      <c r="B103" s="134" t="str">
        <f>IF(A103="","",VLOOKUP(A103,Orçamento!A:G,5,FALSE))</f>
        <v>TACHA BIDIRECIONAL EIXO - CAD 1:4</v>
      </c>
      <c r="C103" s="135">
        <f>IF(A103="","",VLOOKUP(A103,Orçamento!A:G,6,FALSE))</f>
        <v>307</v>
      </c>
      <c r="D103" s="136" t="str">
        <f>IF(A103="","",VLOOKUP(A103,Orçamento!A:G,7,FALSE))</f>
        <v>und</v>
      </c>
    </row>
    <row r="104" spans="1:4" s="22" customFormat="1" ht="18">
      <c r="A104" s="37"/>
      <c r="B104" s="183" t="s">
        <v>538</v>
      </c>
      <c r="C104" s="39" t="s">
        <v>89</v>
      </c>
      <c r="D104" s="40" t="s">
        <v>89</v>
      </c>
    </row>
    <row r="105" spans="1:4" s="22" customFormat="1" ht="18">
      <c r="A105" s="133" t="s">
        <v>432</v>
      </c>
      <c r="B105" s="134" t="str">
        <f>IF(A105="","",VLOOKUP(A105,Orçamento!A:G,5,FALSE))</f>
        <v>TACHA MONODIRECIONAL BORDO - CAD 1:8</v>
      </c>
      <c r="C105" s="135">
        <f>IF(A105="","",VLOOKUP(A105,Orçamento!A:G,6,FALSE))</f>
        <v>306</v>
      </c>
      <c r="D105" s="136" t="str">
        <f>IF(A105="","",VLOOKUP(A105,Orçamento!A:G,7,FALSE))</f>
        <v>und</v>
      </c>
    </row>
    <row r="106" spans="1:4" s="22" customFormat="1" ht="18">
      <c r="A106" s="37"/>
      <c r="B106" s="183" t="str">
        <f>B104</f>
        <v>Conforme memória de cálculo de sinalização e projeto de sinalização</v>
      </c>
      <c r="C106" s="39" t="s">
        <v>89</v>
      </c>
      <c r="D106" s="40" t="s">
        <v>89</v>
      </c>
    </row>
    <row r="107" spans="1:4" s="22" customFormat="1" ht="18">
      <c r="A107" s="133" t="s">
        <v>433</v>
      </c>
      <c r="B107" s="134" t="str">
        <f>IF(A107="","",VLOOKUP(A107,Orçamento!A:G,5,FALSE))</f>
        <v>FORNECIMENTO E IMPLANTAÇÃO DE PLACA DE REGULAMENTAÇÃO EM AÇO D=0,60 M</v>
      </c>
      <c r="C107" s="135">
        <f>IF(A107="","",VLOOKUP(A107,Orçamento!A:G,6,FALSE))</f>
        <v>4</v>
      </c>
      <c r="D107" s="136" t="str">
        <f>IF(A107="","",VLOOKUP(A107,Orçamento!A:G,7,FALSE))</f>
        <v>und</v>
      </c>
    </row>
    <row r="108" spans="1:4" s="22" customFormat="1" ht="18">
      <c r="A108" s="37"/>
      <c r="B108" s="183" t="str">
        <f>B106</f>
        <v>Conforme memória de cálculo de sinalização e projeto de sinalização</v>
      </c>
      <c r="C108" s="39" t="s">
        <v>89</v>
      </c>
      <c r="D108" s="40" t="s">
        <v>89</v>
      </c>
    </row>
    <row r="109" spans="1:4" s="22" customFormat="1" ht="18">
      <c r="A109" s="133" t="s">
        <v>434</v>
      </c>
      <c r="B109" s="134" t="str">
        <f>IF(A109="","",VLOOKUP(A109,Orçamento!A:G,5,FALSE))</f>
        <v>SUPORTE METÁLICO GALVANIZADO PARA PLACA DE REGULAMENTAÇÃO </v>
      </c>
      <c r="C109" s="135">
        <f>IF(A109="","",VLOOKUP(A109,Orçamento!A:G,6,FALSE))</f>
        <v>4</v>
      </c>
      <c r="D109" s="136" t="str">
        <f>IF(A109="","",VLOOKUP(A109,Orçamento!A:G,7,FALSE))</f>
        <v>und</v>
      </c>
    </row>
    <row r="110" spans="1:4" s="22" customFormat="1" ht="18">
      <c r="A110" s="37"/>
      <c r="B110" s="38" t="str">
        <f>B108</f>
        <v>Conforme memória de cálculo de sinalização e projeto de sinalização</v>
      </c>
      <c r="C110" s="39" t="s">
        <v>89</v>
      </c>
      <c r="D110" s="40" t="s">
        <v>89</v>
      </c>
    </row>
    <row r="111" spans="1:4" s="22" customFormat="1" ht="18">
      <c r="A111" s="133" t="s">
        <v>435</v>
      </c>
      <c r="B111" s="134" t="str">
        <f>IF(A111="","",VLOOKUP(A111,Orçamento!A:G,5,FALSE))</f>
        <v>FORNECIMENTO E IMPLANTAÇÃO DE PLACA DE ADVERTÊNCIA EM AÇO L=0,60M</v>
      </c>
      <c r="C111" s="135">
        <f>IF(A111="","",VLOOKUP(A111,Orçamento!A:G,6,FALSE))</f>
        <v>8</v>
      </c>
      <c r="D111" s="136" t="str">
        <f>IF(A111="","",VLOOKUP(A111,Orçamento!A:G,7,FALSE))</f>
        <v>und</v>
      </c>
    </row>
    <row r="112" spans="1:4" s="22" customFormat="1" ht="18">
      <c r="A112" s="37"/>
      <c r="B112" s="38" t="str">
        <f>B110</f>
        <v>Conforme memória de cálculo de sinalização e projeto de sinalização</v>
      </c>
      <c r="C112" s="39" t="s">
        <v>89</v>
      </c>
      <c r="D112" s="40" t="s">
        <v>89</v>
      </c>
    </row>
    <row r="113" spans="1:4" s="22" customFormat="1" ht="18">
      <c r="A113" s="133" t="s">
        <v>436</v>
      </c>
      <c r="B113" s="134" t="str">
        <f>IF(A113="","",VLOOKUP(A113,Orçamento!A:G,5,FALSE))</f>
        <v>SUPORTE METÁLICO GALVANIZADO PARA PLACA DE ADVERTÊNCIA</v>
      </c>
      <c r="C113" s="135">
        <f>IF(A113="","",VLOOKUP(A113,Orçamento!A:G,6,FALSE))</f>
        <v>8</v>
      </c>
      <c r="D113" s="136" t="str">
        <f>IF(A113="","",VLOOKUP(A113,Orçamento!A:G,7,FALSE))</f>
        <v>und</v>
      </c>
    </row>
    <row r="114" spans="1:4" ht="18">
      <c r="A114" s="37"/>
      <c r="B114" s="38" t="str">
        <f>B112</f>
        <v>Conforme memória de cálculo de sinalização e projeto de sinalização</v>
      </c>
      <c r="C114" s="39" t="s">
        <v>89</v>
      </c>
      <c r="D114" s="40" t="s">
        <v>89</v>
      </c>
    </row>
  </sheetData>
  <sheetProtection/>
  <mergeCells count="5">
    <mergeCell ref="A5:A6"/>
    <mergeCell ref="B5:B6"/>
    <mergeCell ref="C5:C6"/>
    <mergeCell ref="D5:D6"/>
    <mergeCell ref="A4:D4"/>
  </mergeCells>
  <printOptions/>
  <pageMargins left="0.3937007874015748" right="0.3937007874015748" top="0.3937007874015748" bottom="0.3937007874015748" header="0" footer="0"/>
  <pageSetup horizontalDpi="300" verticalDpi="300" orientation="portrait" paperSize="9" scale="57" r:id="rId1"/>
  <rowBreaks count="1" manualBreakCount="1">
    <brk id="6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M28"/>
  <sheetViews>
    <sheetView showGridLines="0" view="pageBreakPreview" zoomScale="90" zoomScaleNormal="75" zoomScaleSheetLayoutView="90" workbookViewId="0" topLeftCell="A1">
      <selection activeCell="F19" sqref="F19"/>
    </sheetView>
  </sheetViews>
  <sheetFormatPr defaultColWidth="8.00390625" defaultRowHeight="18.75" customHeight="1"/>
  <cols>
    <col min="1" max="1" width="6.00390625" style="74" customWidth="1"/>
    <col min="2" max="2" width="34.8515625" style="23" bestFit="1" customWidth="1"/>
    <col min="3" max="3" width="14.7109375" style="75" customWidth="1"/>
    <col min="4" max="4" width="12.7109375" style="76" customWidth="1"/>
    <col min="5" max="8" width="12.7109375" style="77" customWidth="1"/>
    <col min="9" max="9" width="12.00390625" style="74" customWidth="1"/>
    <col min="10" max="10" width="11.57421875" style="74" customWidth="1"/>
    <col min="11" max="11" width="11.28125" style="74" customWidth="1"/>
    <col min="12" max="12" width="11.57421875" style="74" customWidth="1"/>
    <col min="13" max="16384" width="8.00390625" style="74" customWidth="1"/>
  </cols>
  <sheetData>
    <row r="1" spans="1:12" s="287" customFormat="1" ht="18.75" customHeight="1">
      <c r="A1" s="500" t="str">
        <f>Orçamento!A1</f>
        <v>PREFEITURA MUNICIPAL DE FONTOURA XAVIER</v>
      </c>
      <c r="B1" s="501"/>
      <c r="C1" s="501"/>
      <c r="D1" s="502"/>
      <c r="E1" s="498"/>
      <c r="F1" s="498"/>
      <c r="G1" s="498"/>
      <c r="H1" s="503"/>
      <c r="I1" s="491"/>
      <c r="J1" s="491"/>
      <c r="K1" s="491"/>
      <c r="L1" s="491"/>
    </row>
    <row r="2" spans="1:12" s="287" customFormat="1" ht="18.75" customHeight="1">
      <c r="A2" s="504" t="str">
        <f>Orçamento!A2</f>
        <v>Obra: Pavimentação Asfáltica da Estrada de Ligação à BR-386</v>
      </c>
      <c r="B2" s="259"/>
      <c r="C2" s="259"/>
      <c r="D2" s="286"/>
      <c r="E2" s="286"/>
      <c r="F2" s="286"/>
      <c r="G2" s="286"/>
      <c r="H2" s="505"/>
      <c r="I2" s="491"/>
      <c r="J2" s="491"/>
      <c r="K2" s="491"/>
      <c r="L2" s="491"/>
    </row>
    <row r="3" spans="1:12" s="287" customFormat="1" ht="18.75" customHeight="1">
      <c r="A3" s="506"/>
      <c r="B3" s="260"/>
      <c r="C3" s="260"/>
      <c r="D3" s="286"/>
      <c r="E3" s="286"/>
      <c r="F3" s="286"/>
      <c r="G3" s="286"/>
      <c r="H3" s="505"/>
      <c r="I3" s="491"/>
      <c r="J3" s="491"/>
      <c r="K3" s="491"/>
      <c r="L3" s="491"/>
    </row>
    <row r="4" spans="1:12" s="287" customFormat="1" ht="18.75" customHeight="1">
      <c r="A4" s="530" t="s">
        <v>43</v>
      </c>
      <c r="B4" s="531"/>
      <c r="C4" s="531"/>
      <c r="D4" s="531"/>
      <c r="E4" s="531"/>
      <c r="F4" s="531"/>
      <c r="G4" s="531"/>
      <c r="H4" s="532"/>
      <c r="I4" s="286"/>
      <c r="J4" s="286"/>
      <c r="K4" s="286"/>
      <c r="L4" s="286"/>
    </row>
    <row r="5" spans="1:13" s="23" customFormat="1" ht="18.75" customHeight="1">
      <c r="A5" s="541" t="s">
        <v>44</v>
      </c>
      <c r="B5" s="541" t="s">
        <v>45</v>
      </c>
      <c r="C5" s="541" t="s">
        <v>46</v>
      </c>
      <c r="D5" s="527" t="s">
        <v>47</v>
      </c>
      <c r="E5" s="528"/>
      <c r="F5" s="528"/>
      <c r="G5" s="529"/>
      <c r="H5" s="490" t="s">
        <v>540</v>
      </c>
      <c r="I5" s="495"/>
      <c r="J5" s="495"/>
      <c r="K5" s="495"/>
      <c r="L5" s="499"/>
      <c r="M5" s="499"/>
    </row>
    <row r="6" spans="1:11" s="23" customFormat="1" ht="18.75" customHeight="1">
      <c r="A6" s="542"/>
      <c r="B6" s="542"/>
      <c r="C6" s="542"/>
      <c r="D6" s="492" t="s">
        <v>48</v>
      </c>
      <c r="E6" s="492" t="s">
        <v>49</v>
      </c>
      <c r="F6" s="492" t="s">
        <v>404</v>
      </c>
      <c r="G6" s="492" t="s">
        <v>541</v>
      </c>
      <c r="H6" s="53" t="s">
        <v>41</v>
      </c>
      <c r="I6" s="496"/>
      <c r="J6" s="496"/>
      <c r="K6" s="496"/>
    </row>
    <row r="7" spans="1:11" s="64" customFormat="1" ht="18.75" customHeight="1">
      <c r="A7" s="539">
        <v>1</v>
      </c>
      <c r="B7" s="540" t="str">
        <f>Orçamento!B11</f>
        <v>SERVIÇOS PRELIMINARES</v>
      </c>
      <c r="C7" s="55"/>
      <c r="D7" s="62"/>
      <c r="E7" s="62"/>
      <c r="F7" s="62"/>
      <c r="G7" s="62"/>
      <c r="H7" s="63"/>
      <c r="I7" s="493"/>
      <c r="J7" s="493"/>
      <c r="K7" s="493"/>
    </row>
    <row r="8" spans="1:11" s="64" customFormat="1" ht="18.75" customHeight="1">
      <c r="A8" s="539"/>
      <c r="B8" s="539"/>
      <c r="C8" s="65">
        <f>Orçamento!O16</f>
        <v>97483.73</v>
      </c>
      <c r="D8" s="62">
        <f>D9*$C8</f>
        <v>28523.739398</v>
      </c>
      <c r="E8" s="62">
        <f>E9*$C8</f>
        <v>21319.691751</v>
      </c>
      <c r="F8" s="62">
        <f>F9*$C8</f>
        <v>21319.691751</v>
      </c>
      <c r="G8" s="62">
        <f>G9*$C8</f>
        <v>26320.607099999994</v>
      </c>
      <c r="H8" s="63">
        <f>SUM(D8:G8)</f>
        <v>97483.72999999998</v>
      </c>
      <c r="I8" s="493"/>
      <c r="J8" s="493"/>
      <c r="K8" s="493"/>
    </row>
    <row r="9" spans="1:11" s="69" customFormat="1" ht="18.75" customHeight="1">
      <c r="A9" s="539"/>
      <c r="B9" s="539"/>
      <c r="C9" s="66" t="s">
        <v>42</v>
      </c>
      <c r="D9" s="67">
        <v>0.2926</v>
      </c>
      <c r="E9" s="67">
        <v>0.2187</v>
      </c>
      <c r="F9" s="67">
        <v>0.2187</v>
      </c>
      <c r="G9" s="67">
        <v>0.26999999999999996</v>
      </c>
      <c r="H9" s="68">
        <f>SUM(D9:G9)</f>
        <v>1</v>
      </c>
      <c r="I9" s="497"/>
      <c r="J9" s="497"/>
      <c r="K9" s="497"/>
    </row>
    <row r="10" spans="1:11" s="64" customFormat="1" ht="18.75" customHeight="1">
      <c r="A10" s="539">
        <v>2</v>
      </c>
      <c r="B10" s="540" t="str">
        <f>Orçamento!B17</f>
        <v>MOVIMENTAÇÃO DE TERRA</v>
      </c>
      <c r="C10" s="70"/>
      <c r="D10" s="62"/>
      <c r="E10" s="62"/>
      <c r="F10" s="62"/>
      <c r="G10" s="62"/>
      <c r="H10" s="71"/>
      <c r="I10" s="493"/>
      <c r="J10" s="493"/>
      <c r="K10" s="493"/>
    </row>
    <row r="11" spans="1:12" s="64" customFormat="1" ht="18.75" customHeight="1">
      <c r="A11" s="539"/>
      <c r="B11" s="539"/>
      <c r="C11" s="65">
        <f>Orçamento!O33</f>
        <v>383846.86</v>
      </c>
      <c r="D11" s="62">
        <f>D12*$C11</f>
        <v>326269.831</v>
      </c>
      <c r="E11" s="62">
        <f>E12*$C11</f>
        <v>57577.028999999995</v>
      </c>
      <c r="F11" s="62"/>
      <c r="G11" s="62"/>
      <c r="H11" s="63">
        <f>SUM(D11:G11)</f>
        <v>383846.86</v>
      </c>
      <c r="I11" s="493"/>
      <c r="J11" s="493"/>
      <c r="K11" s="493"/>
      <c r="L11" s="493"/>
    </row>
    <row r="12" spans="1:12" s="64" customFormat="1" ht="18.75" customHeight="1">
      <c r="A12" s="539"/>
      <c r="B12" s="539"/>
      <c r="C12" s="55" t="s">
        <v>42</v>
      </c>
      <c r="D12" s="67">
        <v>0.85</v>
      </c>
      <c r="E12" s="67">
        <v>0.15</v>
      </c>
      <c r="F12" s="67"/>
      <c r="G12" s="67"/>
      <c r="H12" s="68">
        <f>SUM(D12:G12)</f>
        <v>1</v>
      </c>
      <c r="I12" s="493"/>
      <c r="J12" s="493"/>
      <c r="K12" s="493"/>
      <c r="L12" s="493"/>
    </row>
    <row r="13" spans="1:12" s="64" customFormat="1" ht="18.75" customHeight="1">
      <c r="A13" s="539">
        <v>3</v>
      </c>
      <c r="B13" s="540" t="str">
        <f>Orçamento!B34</f>
        <v>PAVIMENTAÇÃO</v>
      </c>
      <c r="C13" s="55"/>
      <c r="D13" s="62"/>
      <c r="E13" s="62"/>
      <c r="F13" s="62"/>
      <c r="G13" s="62"/>
      <c r="H13" s="62"/>
      <c r="I13" s="493"/>
      <c r="J13" s="493"/>
      <c r="K13" s="493"/>
      <c r="L13" s="493"/>
    </row>
    <row r="14" spans="1:12" s="64" customFormat="1" ht="18.75" customHeight="1">
      <c r="A14" s="539"/>
      <c r="B14" s="539"/>
      <c r="C14" s="65">
        <f>Orçamento!O44</f>
        <v>1423799.04</v>
      </c>
      <c r="D14" s="62"/>
      <c r="E14" s="62">
        <f>E15*$C14</f>
        <v>256283.8272</v>
      </c>
      <c r="F14" s="62">
        <f>F15*$C14</f>
        <v>1025135.3088</v>
      </c>
      <c r="G14" s="62">
        <f>G15*$C14</f>
        <v>142379.904</v>
      </c>
      <c r="H14" s="63">
        <f>SUM(D14:G14)</f>
        <v>1423799.04</v>
      </c>
      <c r="I14" s="493"/>
      <c r="J14" s="493"/>
      <c r="K14" s="493"/>
      <c r="L14" s="493"/>
    </row>
    <row r="15" spans="1:12" s="64" customFormat="1" ht="18.75" customHeight="1">
      <c r="A15" s="539"/>
      <c r="B15" s="539"/>
      <c r="C15" s="55" t="s">
        <v>42</v>
      </c>
      <c r="D15" s="67"/>
      <c r="E15" s="67">
        <v>0.18</v>
      </c>
      <c r="F15" s="67">
        <v>0.72</v>
      </c>
      <c r="G15" s="67">
        <v>0.1</v>
      </c>
      <c r="H15" s="68">
        <f>SUM(D15:G15)</f>
        <v>0.9999999999999999</v>
      </c>
      <c r="I15" s="493"/>
      <c r="J15" s="493"/>
      <c r="K15" s="493"/>
      <c r="L15" s="493"/>
    </row>
    <row r="16" spans="1:12" s="64" customFormat="1" ht="18.75" customHeight="1">
      <c r="A16" s="539">
        <v>4</v>
      </c>
      <c r="B16" s="540" t="str">
        <f>Orçamento!B45</f>
        <v>DRENAGEM DE ÁGUAS PLUVIAIS</v>
      </c>
      <c r="C16" s="55"/>
      <c r="D16" s="62"/>
      <c r="E16" s="62"/>
      <c r="F16" s="62"/>
      <c r="G16" s="62"/>
      <c r="H16" s="72"/>
      <c r="I16" s="493"/>
      <c r="J16" s="493"/>
      <c r="K16" s="493"/>
      <c r="L16" s="493"/>
    </row>
    <row r="17" spans="1:12" s="64" customFormat="1" ht="18.75" customHeight="1">
      <c r="A17" s="539"/>
      <c r="B17" s="539"/>
      <c r="C17" s="65">
        <f>Orçamento!O68</f>
        <v>149486.5</v>
      </c>
      <c r="D17" s="62">
        <f>D18*$C17</f>
        <v>86851.6565</v>
      </c>
      <c r="E17" s="62">
        <f>E18*$C17</f>
        <v>50601.180250000005</v>
      </c>
      <c r="F17" s="62"/>
      <c r="G17" s="62">
        <f>G18*$C17</f>
        <v>12033.663250000003</v>
      </c>
      <c r="H17" s="63">
        <f>SUM(D17:G17)</f>
        <v>149486.50000000003</v>
      </c>
      <c r="I17" s="493"/>
      <c r="J17" s="493"/>
      <c r="K17" s="493"/>
      <c r="L17" s="493"/>
    </row>
    <row r="18" spans="1:12" s="64" customFormat="1" ht="18.75" customHeight="1">
      <c r="A18" s="539"/>
      <c r="B18" s="539"/>
      <c r="C18" s="55" t="s">
        <v>42</v>
      </c>
      <c r="D18" s="67">
        <v>0.581</v>
      </c>
      <c r="E18" s="67">
        <v>0.3385</v>
      </c>
      <c r="F18" s="67"/>
      <c r="G18" s="67">
        <v>0.08050000000000002</v>
      </c>
      <c r="H18" s="68">
        <f>SUM(D18:G18)</f>
        <v>1</v>
      </c>
      <c r="I18" s="493"/>
      <c r="J18" s="493"/>
      <c r="K18" s="493"/>
      <c r="L18" s="493"/>
    </row>
    <row r="19" spans="1:12" s="64" customFormat="1" ht="18.75" customHeight="1">
      <c r="A19" s="539">
        <v>5</v>
      </c>
      <c r="B19" s="540" t="str">
        <f>Orçamento!B69</f>
        <v>SINALIZAÇÃO VIÁRIA</v>
      </c>
      <c r="C19" s="55"/>
      <c r="D19" s="62"/>
      <c r="E19" s="62"/>
      <c r="F19" s="62"/>
      <c r="G19" s="62"/>
      <c r="H19" s="72"/>
      <c r="I19" s="493"/>
      <c r="J19" s="493"/>
      <c r="K19" s="493"/>
      <c r="L19" s="493"/>
    </row>
    <row r="20" spans="1:12" s="64" customFormat="1" ht="18.75" customHeight="1">
      <c r="A20" s="539"/>
      <c r="B20" s="539"/>
      <c r="C20" s="65">
        <f>Orçamento!O77</f>
        <v>38749.58</v>
      </c>
      <c r="D20" s="62"/>
      <c r="E20" s="62"/>
      <c r="F20" s="62"/>
      <c r="G20" s="62">
        <f>G21*$C20</f>
        <v>38749.58</v>
      </c>
      <c r="H20" s="63">
        <f>SUM(D20:G20)</f>
        <v>38749.58</v>
      </c>
      <c r="I20" s="493"/>
      <c r="J20" s="493"/>
      <c r="K20" s="493"/>
      <c r="L20" s="493"/>
    </row>
    <row r="21" spans="1:12" s="64" customFormat="1" ht="18.75" customHeight="1">
      <c r="A21" s="539"/>
      <c r="B21" s="539"/>
      <c r="C21" s="55" t="s">
        <v>42</v>
      </c>
      <c r="D21" s="67"/>
      <c r="E21" s="67"/>
      <c r="F21" s="67"/>
      <c r="G21" s="67">
        <v>1</v>
      </c>
      <c r="H21" s="68">
        <f>SUM(D21:G21)</f>
        <v>1</v>
      </c>
      <c r="I21" s="493"/>
      <c r="J21" s="493"/>
      <c r="K21" s="493"/>
      <c r="L21" s="493"/>
    </row>
    <row r="22" spans="1:12" s="64" customFormat="1" ht="18.75" customHeight="1">
      <c r="A22" s="55"/>
      <c r="B22" s="54"/>
      <c r="C22" s="55"/>
      <c r="D22" s="67"/>
      <c r="E22" s="67"/>
      <c r="F22" s="67"/>
      <c r="G22" s="67"/>
      <c r="H22" s="68"/>
      <c r="I22" s="493"/>
      <c r="J22" s="493"/>
      <c r="K22" s="493"/>
      <c r="L22" s="493"/>
    </row>
    <row r="23" spans="1:12" s="64" customFormat="1" ht="18.75" customHeight="1">
      <c r="A23" s="537" t="s">
        <v>41</v>
      </c>
      <c r="B23" s="538"/>
      <c r="C23" s="65">
        <f>C20+C17+C14+C11+C8</f>
        <v>2093365.71</v>
      </c>
      <c r="D23" s="63"/>
      <c r="E23" s="63"/>
      <c r="F23" s="63"/>
      <c r="G23" s="63"/>
      <c r="H23" s="63"/>
      <c r="I23" s="493"/>
      <c r="J23" s="493"/>
      <c r="K23" s="493"/>
      <c r="L23" s="493"/>
    </row>
    <row r="24" spans="1:12" s="64" customFormat="1" ht="18.75" customHeight="1">
      <c r="A24" s="533" t="s">
        <v>50</v>
      </c>
      <c r="B24" s="534"/>
      <c r="C24" s="65"/>
      <c r="D24" s="63">
        <f>SUM(D20,D17,D14,D11,D8)</f>
        <v>441645.226898</v>
      </c>
      <c r="E24" s="63">
        <f>SUM(E20,E17,E14,E11,E8)</f>
        <v>385781.728201</v>
      </c>
      <c r="F24" s="63">
        <f>SUM(F20,F17,F14,F11,F8)</f>
        <v>1046455.000551</v>
      </c>
      <c r="G24" s="63">
        <f>SUM(G20,G17,G14,G11,G8)</f>
        <v>219483.75435</v>
      </c>
      <c r="H24" s="63">
        <f>SUM(H20,H17,H14,H11,H8)</f>
        <v>2093365.71</v>
      </c>
      <c r="I24" s="493"/>
      <c r="J24" s="493"/>
      <c r="K24" s="493"/>
      <c r="L24" s="493"/>
    </row>
    <row r="25" spans="1:12" s="64" customFormat="1" ht="18.75" customHeight="1">
      <c r="A25" s="535"/>
      <c r="B25" s="536"/>
      <c r="C25" s="65"/>
      <c r="D25" s="150">
        <f>D24/$C$23</f>
        <v>0.2109737561804239</v>
      </c>
      <c r="E25" s="150">
        <f>E24/$C$23</f>
        <v>0.18428778419275818</v>
      </c>
      <c r="F25" s="150">
        <f>F24/$C$23</f>
        <v>0.49989115401675327</v>
      </c>
      <c r="G25" s="150">
        <f>G24/$C$23</f>
        <v>0.10484730561006467</v>
      </c>
      <c r="H25" s="150">
        <f>H24/$C$23</f>
        <v>1</v>
      </c>
      <c r="I25" s="493"/>
      <c r="J25" s="493"/>
      <c r="K25" s="493"/>
      <c r="L25" s="493"/>
    </row>
    <row r="26" spans="1:12" s="64" customFormat="1" ht="18.75" customHeight="1">
      <c r="A26" s="533" t="s">
        <v>51</v>
      </c>
      <c r="B26" s="534"/>
      <c r="C26" s="55"/>
      <c r="D26" s="63">
        <f>D24</f>
        <v>441645.226898</v>
      </c>
      <c r="E26" s="63">
        <f>D26+E24</f>
        <v>827426.955099</v>
      </c>
      <c r="F26" s="63">
        <f>E26+F24</f>
        <v>1873881.95565</v>
      </c>
      <c r="G26" s="63">
        <f>F26+G24</f>
        <v>2093365.71</v>
      </c>
      <c r="H26" s="63"/>
      <c r="I26" s="493"/>
      <c r="J26" s="493"/>
      <c r="K26" s="493"/>
      <c r="L26" s="493"/>
    </row>
    <row r="27" spans="1:12" ht="18.75" customHeight="1">
      <c r="A27" s="535"/>
      <c r="B27" s="536"/>
      <c r="C27" s="73"/>
      <c r="D27" s="150">
        <f>D26/$C$23</f>
        <v>0.2109737561804239</v>
      </c>
      <c r="E27" s="150">
        <f>E26/$C$23</f>
        <v>0.3952615403731821</v>
      </c>
      <c r="F27" s="150">
        <f>F26/$C$23</f>
        <v>0.8951526943899353</v>
      </c>
      <c r="G27" s="150">
        <f>G26/$C$23</f>
        <v>1</v>
      </c>
      <c r="H27" s="150"/>
      <c r="I27" s="494"/>
      <c r="J27" s="494"/>
      <c r="K27" s="494"/>
      <c r="L27" s="494"/>
    </row>
    <row r="28" spans="9:12" ht="18.75" customHeight="1">
      <c r="I28" s="494"/>
      <c r="J28" s="494"/>
      <c r="K28" s="494"/>
      <c r="L28" s="494"/>
    </row>
  </sheetData>
  <sheetProtection/>
  <mergeCells count="18">
    <mergeCell ref="A19:A21"/>
    <mergeCell ref="B19:B21"/>
    <mergeCell ref="A7:A9"/>
    <mergeCell ref="B7:B9"/>
    <mergeCell ref="B5:B6"/>
    <mergeCell ref="C5:C6"/>
    <mergeCell ref="A5:A6"/>
    <mergeCell ref="B10:B12"/>
    <mergeCell ref="D5:G5"/>
    <mergeCell ref="A4:H4"/>
    <mergeCell ref="A26:B27"/>
    <mergeCell ref="A24:B25"/>
    <mergeCell ref="A23:B23"/>
    <mergeCell ref="A13:A15"/>
    <mergeCell ref="B13:B15"/>
    <mergeCell ref="A10:A12"/>
    <mergeCell ref="A16:A18"/>
    <mergeCell ref="B16:B18"/>
  </mergeCell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77"/>
  <sheetViews>
    <sheetView showGridLines="0" view="pageBreakPreview" zoomScale="70" zoomScaleNormal="60" zoomScaleSheetLayoutView="70" zoomScalePageLayoutView="0" workbookViewId="0" topLeftCell="A1">
      <selection activeCell="O72" sqref="O72"/>
    </sheetView>
  </sheetViews>
  <sheetFormatPr defaultColWidth="11.421875" defaultRowHeight="12.75"/>
  <cols>
    <col min="1" max="1" width="7.8515625" style="13" customWidth="1"/>
    <col min="2" max="3" width="17.00390625" style="2" customWidth="1"/>
    <col min="4" max="4" width="63.7109375" style="16" customWidth="1"/>
    <col min="5" max="5" width="8.28125" style="46" customWidth="1"/>
    <col min="6" max="6" width="13.7109375" style="88" customWidth="1"/>
    <col min="7" max="7" width="13.7109375" style="3" customWidth="1"/>
    <col min="8" max="8" width="13.7109375" style="18" customWidth="1"/>
    <col min="9" max="13" width="0" style="13" hidden="1" customWidth="1"/>
    <col min="14" max="16384" width="11.421875" style="13" customWidth="1"/>
  </cols>
  <sheetData>
    <row r="1" spans="1:8" s="10" customFormat="1" ht="20.25">
      <c r="A1" s="84" t="str">
        <f>Orçamento!A1</f>
        <v>PREFEITURA MUNICIPAL DE FONTOURA XAVIER</v>
      </c>
      <c r="B1" s="82"/>
      <c r="C1" s="82"/>
      <c r="D1" s="82"/>
      <c r="E1" s="9"/>
      <c r="F1" s="85"/>
      <c r="G1" s="12"/>
      <c r="H1" s="83"/>
    </row>
    <row r="2" spans="1:8" s="10" customFormat="1" ht="20.25">
      <c r="A2" s="82" t="str">
        <f>Orçamento!A2</f>
        <v>Obra: Pavimentação Asfáltica da Estrada de Ligação à BR-386</v>
      </c>
      <c r="B2" s="82"/>
      <c r="C2" s="82"/>
      <c r="D2" s="82"/>
      <c r="E2" s="9"/>
      <c r="F2" s="85"/>
      <c r="G2" s="12"/>
      <c r="H2" s="83"/>
    </row>
    <row r="3" spans="2:8" s="10" customFormat="1" ht="20.25">
      <c r="B3" s="82"/>
      <c r="C3" s="82"/>
      <c r="D3" s="82"/>
      <c r="E3" s="9"/>
      <c r="F3" s="85"/>
      <c r="G3" s="12"/>
      <c r="H3" s="83"/>
    </row>
    <row r="4" spans="1:8" s="10" customFormat="1" ht="20.25">
      <c r="A4" s="564" t="s">
        <v>108</v>
      </c>
      <c r="B4" s="564"/>
      <c r="C4" s="564"/>
      <c r="D4" s="564"/>
      <c r="E4" s="564"/>
      <c r="F4" s="564"/>
      <c r="G4" s="564"/>
      <c r="H4" s="564"/>
    </row>
    <row r="5" spans="1:8" s="10" customFormat="1" ht="20.25">
      <c r="A5" s="153" t="s">
        <v>127</v>
      </c>
      <c r="B5" s="154"/>
      <c r="C5" s="154"/>
      <c r="D5" s="154"/>
      <c r="E5" s="155"/>
      <c r="F5" s="156"/>
      <c r="G5" s="157"/>
      <c r="H5" s="158"/>
    </row>
    <row r="6" spans="1:8" s="2" customFormat="1" ht="18">
      <c r="A6" s="550" t="s">
        <v>0</v>
      </c>
      <c r="B6" s="550" t="s">
        <v>79</v>
      </c>
      <c r="C6" s="550"/>
      <c r="D6" s="552" t="s">
        <v>80</v>
      </c>
      <c r="E6" s="544" t="s">
        <v>8</v>
      </c>
      <c r="F6" s="551" t="s">
        <v>111</v>
      </c>
      <c r="G6" s="544" t="s">
        <v>109</v>
      </c>
      <c r="H6" s="544"/>
    </row>
    <row r="7" spans="1:8" s="2" customFormat="1" ht="18">
      <c r="A7" s="550"/>
      <c r="B7" s="550"/>
      <c r="C7" s="550"/>
      <c r="D7" s="552"/>
      <c r="E7" s="544"/>
      <c r="F7" s="551"/>
      <c r="G7" s="57" t="s">
        <v>110</v>
      </c>
      <c r="H7" s="61" t="s">
        <v>23</v>
      </c>
    </row>
    <row r="8" spans="1:8" ht="36">
      <c r="A8" s="1">
        <v>1</v>
      </c>
      <c r="B8" s="1" t="s">
        <v>99</v>
      </c>
      <c r="C8" s="1" t="s">
        <v>137</v>
      </c>
      <c r="D8" s="243" t="s">
        <v>377</v>
      </c>
      <c r="E8" s="45" t="s">
        <v>65</v>
      </c>
      <c r="F8" s="86">
        <v>3</v>
      </c>
      <c r="G8" s="244">
        <v>303.37</v>
      </c>
      <c r="H8" s="6">
        <f aca="true" t="shared" si="0" ref="H8:H18">ROUND(G8*F8,2)</f>
        <v>910.11</v>
      </c>
    </row>
    <row r="9" spans="1:8" ht="36">
      <c r="A9" s="1">
        <v>2</v>
      </c>
      <c r="B9" s="1" t="s">
        <v>99</v>
      </c>
      <c r="C9" s="1" t="s">
        <v>137</v>
      </c>
      <c r="D9" s="243" t="s">
        <v>378</v>
      </c>
      <c r="E9" s="45" t="s">
        <v>65</v>
      </c>
      <c r="F9" s="86">
        <v>3</v>
      </c>
      <c r="G9" s="244">
        <f>$G$8</f>
        <v>303.37</v>
      </c>
      <c r="H9" s="6">
        <f t="shared" si="0"/>
        <v>910.11</v>
      </c>
    </row>
    <row r="10" spans="1:8" ht="36">
      <c r="A10" s="1">
        <v>3</v>
      </c>
      <c r="B10" s="1" t="s">
        <v>99</v>
      </c>
      <c r="C10" s="1" t="s">
        <v>137</v>
      </c>
      <c r="D10" s="243" t="s">
        <v>138</v>
      </c>
      <c r="E10" s="45" t="s">
        <v>65</v>
      </c>
      <c r="F10" s="86">
        <v>3</v>
      </c>
      <c r="G10" s="244">
        <f>$G$8</f>
        <v>303.37</v>
      </c>
      <c r="H10" s="6">
        <f t="shared" si="0"/>
        <v>910.11</v>
      </c>
    </row>
    <row r="11" spans="1:8" ht="36">
      <c r="A11" s="1">
        <v>4</v>
      </c>
      <c r="B11" s="1" t="s">
        <v>99</v>
      </c>
      <c r="C11" s="1" t="s">
        <v>137</v>
      </c>
      <c r="D11" s="243" t="s">
        <v>379</v>
      </c>
      <c r="E11" s="45" t="s">
        <v>65</v>
      </c>
      <c r="F11" s="86">
        <v>3</v>
      </c>
      <c r="G11" s="244">
        <f>$G$8</f>
        <v>303.37</v>
      </c>
      <c r="H11" s="6">
        <f t="shared" si="0"/>
        <v>910.11</v>
      </c>
    </row>
    <row r="12" spans="1:8" ht="36">
      <c r="A12" s="1">
        <v>5</v>
      </c>
      <c r="B12" s="1" t="s">
        <v>99</v>
      </c>
      <c r="C12" s="1" t="s">
        <v>137</v>
      </c>
      <c r="D12" s="243" t="s">
        <v>139</v>
      </c>
      <c r="E12" s="45" t="s">
        <v>65</v>
      </c>
      <c r="F12" s="86">
        <v>3</v>
      </c>
      <c r="G12" s="244">
        <f>$G$8</f>
        <v>303.37</v>
      </c>
      <c r="H12" s="6">
        <f t="shared" si="0"/>
        <v>910.11</v>
      </c>
    </row>
    <row r="13" spans="1:8" ht="36">
      <c r="A13" s="1">
        <v>6</v>
      </c>
      <c r="B13" s="1" t="s">
        <v>99</v>
      </c>
      <c r="C13" s="1" t="s">
        <v>137</v>
      </c>
      <c r="D13" s="243" t="s">
        <v>140</v>
      </c>
      <c r="E13" s="45" t="s">
        <v>65</v>
      </c>
      <c r="F13" s="86">
        <v>3</v>
      </c>
      <c r="G13" s="244">
        <f>$G$8</f>
        <v>303.37</v>
      </c>
      <c r="H13" s="6">
        <f t="shared" si="0"/>
        <v>910.11</v>
      </c>
    </row>
    <row r="14" spans="1:8" ht="18">
      <c r="A14" s="1">
        <v>8</v>
      </c>
      <c r="B14" s="1" t="s">
        <v>99</v>
      </c>
      <c r="C14" s="1" t="s">
        <v>103</v>
      </c>
      <c r="D14" s="243" t="s">
        <v>83</v>
      </c>
      <c r="E14" s="45" t="s">
        <v>65</v>
      </c>
      <c r="F14" s="86">
        <v>2.5</v>
      </c>
      <c r="G14" s="244">
        <v>159.2308</v>
      </c>
      <c r="H14" s="6">
        <f t="shared" si="0"/>
        <v>398.08</v>
      </c>
    </row>
    <row r="15" spans="1:8" ht="18">
      <c r="A15" s="1">
        <v>9</v>
      </c>
      <c r="B15" s="1" t="s">
        <v>99</v>
      </c>
      <c r="C15" s="1" t="s">
        <v>104</v>
      </c>
      <c r="D15" s="243" t="s">
        <v>84</v>
      </c>
      <c r="E15" s="45" t="s">
        <v>65</v>
      </c>
      <c r="F15" s="86">
        <v>2.5</v>
      </c>
      <c r="G15" s="244">
        <v>196.063</v>
      </c>
      <c r="H15" s="6">
        <f t="shared" si="0"/>
        <v>490.16</v>
      </c>
    </row>
    <row r="16" spans="1:8" ht="18">
      <c r="A16" s="1">
        <v>10</v>
      </c>
      <c r="B16" s="1" t="s">
        <v>99</v>
      </c>
      <c r="C16" s="1" t="s">
        <v>510</v>
      </c>
      <c r="D16" s="243" t="s">
        <v>517</v>
      </c>
      <c r="E16" s="45" t="s">
        <v>65</v>
      </c>
      <c r="F16" s="86">
        <v>5</v>
      </c>
      <c r="G16" s="244">
        <v>149.6038</v>
      </c>
      <c r="H16" s="6">
        <f>ROUND(G16*F16,2)</f>
        <v>748.02</v>
      </c>
    </row>
    <row r="17" spans="1:8" ht="18">
      <c r="A17" s="1">
        <v>11</v>
      </c>
      <c r="B17" s="1" t="s">
        <v>99</v>
      </c>
      <c r="C17" s="1" t="s">
        <v>105</v>
      </c>
      <c r="D17" s="243" t="s">
        <v>509</v>
      </c>
      <c r="E17" s="45" t="s">
        <v>65</v>
      </c>
      <c r="F17" s="86">
        <v>7.5</v>
      </c>
      <c r="G17" s="244">
        <v>114.0419</v>
      </c>
      <c r="H17" s="6">
        <f t="shared" si="0"/>
        <v>855.31</v>
      </c>
    </row>
    <row r="18" spans="1:8" ht="18">
      <c r="A18" s="1">
        <v>12</v>
      </c>
      <c r="B18" s="1" t="s">
        <v>99</v>
      </c>
      <c r="C18" s="1" t="s">
        <v>106</v>
      </c>
      <c r="D18" s="243" t="s">
        <v>85</v>
      </c>
      <c r="E18" s="45" t="s">
        <v>65</v>
      </c>
      <c r="F18" s="86">
        <v>2.5</v>
      </c>
      <c r="G18" s="244">
        <v>93.8025</v>
      </c>
      <c r="H18" s="6">
        <f t="shared" si="0"/>
        <v>234.51</v>
      </c>
    </row>
    <row r="19" spans="1:8" s="14" customFormat="1" ht="18">
      <c r="A19" s="107" t="s">
        <v>86</v>
      </c>
      <c r="B19" s="108"/>
      <c r="C19" s="108"/>
      <c r="D19" s="108"/>
      <c r="E19" s="109"/>
      <c r="F19" s="110"/>
      <c r="G19" s="108"/>
      <c r="H19" s="111">
        <f>SUM(H8:H18)</f>
        <v>8186.74</v>
      </c>
    </row>
    <row r="20" spans="1:8" s="14" customFormat="1" ht="45.75" customHeight="1">
      <c r="A20" s="565" t="s">
        <v>141</v>
      </c>
      <c r="B20" s="566"/>
      <c r="C20" s="566"/>
      <c r="D20" s="566"/>
      <c r="E20" s="566"/>
      <c r="F20" s="566"/>
      <c r="G20" s="566"/>
      <c r="H20" s="567"/>
    </row>
    <row r="21" spans="1:8" s="14" customFormat="1" ht="57.75" customHeight="1">
      <c r="A21" s="568" t="s">
        <v>142</v>
      </c>
      <c r="B21" s="569"/>
      <c r="C21" s="569"/>
      <c r="D21" s="569"/>
      <c r="E21" s="569"/>
      <c r="F21" s="569"/>
      <c r="G21" s="569"/>
      <c r="H21" s="570"/>
    </row>
    <row r="22" spans="1:8" s="14" customFormat="1" ht="18">
      <c r="A22" s="571" t="s">
        <v>418</v>
      </c>
      <c r="B22" s="572"/>
      <c r="C22" s="572"/>
      <c r="D22" s="572"/>
      <c r="E22" s="572"/>
      <c r="F22" s="572"/>
      <c r="G22" s="572"/>
      <c r="H22" s="573"/>
    </row>
    <row r="24" spans="1:8" s="10" customFormat="1" ht="20.25">
      <c r="A24" s="153" t="s">
        <v>128</v>
      </c>
      <c r="B24" s="154"/>
      <c r="C24" s="154"/>
      <c r="D24" s="154"/>
      <c r="E24" s="155"/>
      <c r="F24" s="156"/>
      <c r="G24" s="157"/>
      <c r="H24" s="158"/>
    </row>
    <row r="25" spans="1:8" s="2" customFormat="1" ht="18">
      <c r="A25" s="550" t="s">
        <v>0</v>
      </c>
      <c r="B25" s="550" t="s">
        <v>79</v>
      </c>
      <c r="C25" s="550"/>
      <c r="D25" s="552" t="s">
        <v>80</v>
      </c>
      <c r="E25" s="544" t="s">
        <v>8</v>
      </c>
      <c r="F25" s="551" t="s">
        <v>111</v>
      </c>
      <c r="G25" s="544" t="s">
        <v>109</v>
      </c>
      <c r="H25" s="544"/>
    </row>
    <row r="26" spans="1:8" s="2" customFormat="1" ht="18">
      <c r="A26" s="550"/>
      <c r="B26" s="550"/>
      <c r="C26" s="550"/>
      <c r="D26" s="552"/>
      <c r="E26" s="544"/>
      <c r="F26" s="551"/>
      <c r="G26" s="57" t="s">
        <v>110</v>
      </c>
      <c r="H26" s="61" t="s">
        <v>23</v>
      </c>
    </row>
    <row r="27" spans="1:8" ht="18">
      <c r="A27" s="1"/>
      <c r="B27" s="1"/>
      <c r="C27" s="1"/>
      <c r="D27" s="89" t="s">
        <v>119</v>
      </c>
      <c r="E27" s="45"/>
      <c r="F27" s="86"/>
      <c r="G27" s="6"/>
      <c r="H27" s="6"/>
    </row>
    <row r="28" spans="1:8" ht="18">
      <c r="A28" s="1">
        <v>1</v>
      </c>
      <c r="B28" s="1" t="s">
        <v>95</v>
      </c>
      <c r="C28" s="1">
        <v>2707</v>
      </c>
      <c r="D28" s="5" t="s">
        <v>265</v>
      </c>
      <c r="E28" s="45" t="s">
        <v>65</v>
      </c>
      <c r="F28" s="86">
        <v>40</v>
      </c>
      <c r="G28" s="250">
        <v>105.1</v>
      </c>
      <c r="H28" s="6">
        <f>ROUND(G28*F28,2)</f>
        <v>4204</v>
      </c>
    </row>
    <row r="29" spans="1:8" ht="18">
      <c r="A29" s="1">
        <v>2</v>
      </c>
      <c r="B29" s="1" t="s">
        <v>95</v>
      </c>
      <c r="C29" s="1">
        <v>4083</v>
      </c>
      <c r="D29" s="5" t="s">
        <v>402</v>
      </c>
      <c r="E29" s="45" t="s">
        <v>65</v>
      </c>
      <c r="F29" s="86">
        <v>160</v>
      </c>
      <c r="G29" s="250">
        <v>41.88</v>
      </c>
      <c r="H29" s="6">
        <f>ROUND(G29*F29,2)</f>
        <v>6700.8</v>
      </c>
    </row>
    <row r="30" spans="1:8" ht="18">
      <c r="A30" s="1">
        <v>3</v>
      </c>
      <c r="B30" s="1" t="s">
        <v>95</v>
      </c>
      <c r="C30" s="1">
        <v>40943</v>
      </c>
      <c r="D30" s="5" t="s">
        <v>401</v>
      </c>
      <c r="E30" s="45" t="s">
        <v>65</v>
      </c>
      <c r="F30" s="86">
        <v>40</v>
      </c>
      <c r="G30" s="250">
        <v>30.98</v>
      </c>
      <c r="H30" s="6">
        <f>ROUND(G30*F30,2)</f>
        <v>1239.2</v>
      </c>
    </row>
    <row r="31" spans="1:8" ht="18">
      <c r="A31" s="245">
        <v>4</v>
      </c>
      <c r="B31" s="246" t="s">
        <v>95</v>
      </c>
      <c r="C31" s="246">
        <v>90781</v>
      </c>
      <c r="D31" s="247" t="s">
        <v>380</v>
      </c>
      <c r="E31" s="248" t="s">
        <v>65</v>
      </c>
      <c r="F31" s="249">
        <v>16</v>
      </c>
      <c r="G31" s="250">
        <v>31.8</v>
      </c>
      <c r="H31" s="6">
        <f>ROUND(G31*F31,2)</f>
        <v>508.8</v>
      </c>
    </row>
    <row r="32" spans="1:8" ht="18">
      <c r="A32" s="245">
        <v>5</v>
      </c>
      <c r="B32" s="246" t="s">
        <v>95</v>
      </c>
      <c r="C32" s="246">
        <v>88253</v>
      </c>
      <c r="D32" s="247" t="s">
        <v>381</v>
      </c>
      <c r="E32" s="248" t="s">
        <v>65</v>
      </c>
      <c r="F32" s="249">
        <v>16</v>
      </c>
      <c r="G32" s="250">
        <v>13.69</v>
      </c>
      <c r="H32" s="6">
        <f>ROUND(G32*F32,2)</f>
        <v>219.04</v>
      </c>
    </row>
    <row r="33" spans="1:8" ht="18">
      <c r="A33" s="1"/>
      <c r="B33" s="1"/>
      <c r="C33" s="1"/>
      <c r="D33" s="5"/>
      <c r="E33" s="45"/>
      <c r="F33" s="86"/>
      <c r="G33" s="6"/>
      <c r="H33" s="6"/>
    </row>
    <row r="34" spans="1:8" ht="18">
      <c r="A34" s="1"/>
      <c r="B34" s="1"/>
      <c r="C34" s="1"/>
      <c r="D34" s="89" t="s">
        <v>120</v>
      </c>
      <c r="E34" s="45"/>
      <c r="F34" s="86"/>
      <c r="G34" s="6"/>
      <c r="H34" s="6"/>
    </row>
    <row r="35" spans="1:8" ht="18">
      <c r="A35" s="1">
        <v>6</v>
      </c>
      <c r="B35" s="1" t="s">
        <v>99</v>
      </c>
      <c r="C35" s="1" t="s">
        <v>107</v>
      </c>
      <c r="D35" s="5" t="s">
        <v>266</v>
      </c>
      <c r="E35" s="45" t="s">
        <v>65</v>
      </c>
      <c r="F35" s="86">
        <v>40</v>
      </c>
      <c r="G35" s="244">
        <v>70.561</v>
      </c>
      <c r="H35" s="6">
        <f>ROUND(G35*F35,2)</f>
        <v>2822.44</v>
      </c>
    </row>
    <row r="36" spans="1:8" ht="18">
      <c r="A36" s="246">
        <v>7</v>
      </c>
      <c r="B36" s="246" t="s">
        <v>99</v>
      </c>
      <c r="C36" s="246" t="s">
        <v>107</v>
      </c>
      <c r="D36" s="243" t="s">
        <v>382</v>
      </c>
      <c r="E36" s="45" t="s">
        <v>65</v>
      </c>
      <c r="F36" s="86">
        <v>48</v>
      </c>
      <c r="G36" s="244">
        <v>36.7148</v>
      </c>
      <c r="H36" s="6">
        <f>ROUND(G36*F36,2)</f>
        <v>1762.31</v>
      </c>
    </row>
    <row r="37" spans="1:8" s="14" customFormat="1" ht="18">
      <c r="A37" s="58" t="s">
        <v>86</v>
      </c>
      <c r="B37" s="59"/>
      <c r="C37" s="59"/>
      <c r="D37" s="59"/>
      <c r="E37" s="60"/>
      <c r="F37" s="87"/>
      <c r="G37" s="59"/>
      <c r="H37" s="35">
        <f>SUM(H28:H36)</f>
        <v>17456.59</v>
      </c>
    </row>
    <row r="39" spans="1:8" s="10" customFormat="1" ht="20.25">
      <c r="A39" s="153" t="s">
        <v>398</v>
      </c>
      <c r="B39" s="154"/>
      <c r="C39" s="154"/>
      <c r="D39" s="154"/>
      <c r="E39" s="155"/>
      <c r="F39" s="156"/>
      <c r="G39" s="157"/>
      <c r="H39" s="158"/>
    </row>
    <row r="40" spans="1:8" ht="18">
      <c r="A40" s="558" t="s">
        <v>0</v>
      </c>
      <c r="B40" s="546" t="s">
        <v>79</v>
      </c>
      <c r="C40" s="547"/>
      <c r="D40" s="553" t="s">
        <v>80</v>
      </c>
      <c r="E40" s="574" t="s">
        <v>8</v>
      </c>
      <c r="F40" s="576" t="s">
        <v>111</v>
      </c>
      <c r="G40" s="560" t="s">
        <v>109</v>
      </c>
      <c r="H40" s="561"/>
    </row>
    <row r="41" spans="1:8" ht="18">
      <c r="A41" s="559"/>
      <c r="B41" s="548"/>
      <c r="C41" s="549"/>
      <c r="D41" s="554"/>
      <c r="E41" s="575"/>
      <c r="F41" s="577"/>
      <c r="G41" s="57" t="s">
        <v>110</v>
      </c>
      <c r="H41" s="35" t="s">
        <v>23</v>
      </c>
    </row>
    <row r="42" spans="1:8" ht="18">
      <c r="A42" s="1">
        <v>1</v>
      </c>
      <c r="B42" s="1" t="s">
        <v>95</v>
      </c>
      <c r="C42" s="1">
        <v>88316</v>
      </c>
      <c r="D42" s="5" t="s">
        <v>93</v>
      </c>
      <c r="E42" s="45" t="s">
        <v>92</v>
      </c>
      <c r="F42" s="261">
        <v>0.021</v>
      </c>
      <c r="G42" s="6">
        <v>17.11</v>
      </c>
      <c r="H42" s="262">
        <f>ROUND(G42*F42,2)</f>
        <v>0.36</v>
      </c>
    </row>
    <row r="43" spans="1:8" ht="36">
      <c r="A43" s="1">
        <v>2</v>
      </c>
      <c r="B43" s="1" t="s">
        <v>95</v>
      </c>
      <c r="C43" s="1">
        <v>5631</v>
      </c>
      <c r="D43" s="5" t="s">
        <v>399</v>
      </c>
      <c r="E43" s="45" t="s">
        <v>100</v>
      </c>
      <c r="F43" s="261">
        <v>0.0168</v>
      </c>
      <c r="G43" s="6">
        <v>167.66</v>
      </c>
      <c r="H43" s="262">
        <f>ROUND(G43*F43,2)</f>
        <v>2.82</v>
      </c>
    </row>
    <row r="44" spans="1:8" ht="36">
      <c r="A44" s="1">
        <v>3</v>
      </c>
      <c r="B44" s="1" t="s">
        <v>95</v>
      </c>
      <c r="C44" s="1">
        <v>5632</v>
      </c>
      <c r="D44" s="5" t="s">
        <v>399</v>
      </c>
      <c r="E44" s="45" t="s">
        <v>112</v>
      </c>
      <c r="F44" s="261">
        <v>0.0042</v>
      </c>
      <c r="G44" s="6">
        <v>71.8</v>
      </c>
      <c r="H44" s="262">
        <f>ROUND(G44*F44,2)</f>
        <v>0.3</v>
      </c>
    </row>
    <row r="45" spans="1:8" ht="36">
      <c r="A45" s="1">
        <v>4</v>
      </c>
      <c r="B45" s="1" t="s">
        <v>95</v>
      </c>
      <c r="C45" s="1">
        <v>89876</v>
      </c>
      <c r="D45" s="5" t="s">
        <v>400</v>
      </c>
      <c r="E45" s="45" t="s">
        <v>100</v>
      </c>
      <c r="F45" s="261">
        <v>0.0736</v>
      </c>
      <c r="G45" s="6">
        <v>232.36</v>
      </c>
      <c r="H45" s="262">
        <f>ROUND(G45*F45,2)</f>
        <v>17.1</v>
      </c>
    </row>
    <row r="46" spans="1:8" ht="36">
      <c r="A46" s="1">
        <v>5</v>
      </c>
      <c r="B46" s="1" t="s">
        <v>95</v>
      </c>
      <c r="C46" s="1">
        <v>89877</v>
      </c>
      <c r="D46" s="5" t="s">
        <v>400</v>
      </c>
      <c r="E46" s="45" t="s">
        <v>112</v>
      </c>
      <c r="F46" s="261">
        <v>0.0223</v>
      </c>
      <c r="G46" s="6">
        <v>54.58</v>
      </c>
      <c r="H46" s="262">
        <f>ROUND(G46*F46,2)</f>
        <v>1.22</v>
      </c>
    </row>
    <row r="47" spans="1:8" ht="18">
      <c r="A47" s="555" t="s">
        <v>86</v>
      </c>
      <c r="B47" s="556"/>
      <c r="C47" s="556"/>
      <c r="D47" s="556"/>
      <c r="E47" s="556"/>
      <c r="F47" s="556"/>
      <c r="G47" s="557"/>
      <c r="H47" s="35">
        <f>SUM(H42:H46)</f>
        <v>21.8</v>
      </c>
    </row>
    <row r="48" spans="1:8" ht="18">
      <c r="A48" s="277"/>
      <c r="B48" s="277"/>
      <c r="C48" s="277"/>
      <c r="D48" s="277"/>
      <c r="E48" s="277"/>
      <c r="F48" s="277"/>
      <c r="G48" s="277"/>
      <c r="H48" s="263"/>
    </row>
    <row r="49" spans="1:8" s="10" customFormat="1" ht="20.25">
      <c r="A49" s="159" t="s">
        <v>406</v>
      </c>
      <c r="B49" s="160"/>
      <c r="C49" s="160"/>
      <c r="D49" s="160"/>
      <c r="E49" s="161"/>
      <c r="F49" s="162"/>
      <c r="G49" s="163"/>
      <c r="H49" s="164"/>
    </row>
    <row r="50" spans="1:8" s="2" customFormat="1" ht="18">
      <c r="A50" s="550" t="s">
        <v>0</v>
      </c>
      <c r="B50" s="550" t="s">
        <v>79</v>
      </c>
      <c r="C50" s="550"/>
      <c r="D50" s="552" t="s">
        <v>80</v>
      </c>
      <c r="E50" s="544" t="s">
        <v>8</v>
      </c>
      <c r="F50" s="551" t="s">
        <v>111</v>
      </c>
      <c r="G50" s="544" t="s">
        <v>109</v>
      </c>
      <c r="H50" s="544"/>
    </row>
    <row r="51" spans="1:8" s="2" customFormat="1" ht="18">
      <c r="A51" s="550"/>
      <c r="B51" s="550"/>
      <c r="C51" s="550"/>
      <c r="D51" s="552"/>
      <c r="E51" s="544"/>
      <c r="F51" s="551"/>
      <c r="G51" s="57" t="s">
        <v>110</v>
      </c>
      <c r="H51" s="61" t="s">
        <v>23</v>
      </c>
    </row>
    <row r="52" spans="1:8" ht="18">
      <c r="A52" s="1">
        <v>1</v>
      </c>
      <c r="B52" s="1" t="s">
        <v>95</v>
      </c>
      <c r="C52" s="1">
        <v>5944</v>
      </c>
      <c r="D52" s="5" t="s">
        <v>129</v>
      </c>
      <c r="E52" s="45" t="s">
        <v>100</v>
      </c>
      <c r="F52" s="86">
        <v>0.004571301148400045</v>
      </c>
      <c r="G52" s="6">
        <v>164.73</v>
      </c>
      <c r="H52" s="6">
        <f aca="true" t="shared" si="1" ref="H52:H63">ROUND(G52*F52,2)</f>
        <v>0.75</v>
      </c>
    </row>
    <row r="53" spans="1:8" ht="18">
      <c r="A53" s="1">
        <v>2</v>
      </c>
      <c r="B53" s="1" t="s">
        <v>95</v>
      </c>
      <c r="C53" s="1">
        <v>5946</v>
      </c>
      <c r="D53" s="5" t="s">
        <v>129</v>
      </c>
      <c r="E53" s="45" t="s">
        <v>112</v>
      </c>
      <c r="F53" s="86">
        <v>0.006578213847697625</v>
      </c>
      <c r="G53" s="6">
        <v>67.11</v>
      </c>
      <c r="H53" s="6">
        <f t="shared" si="1"/>
        <v>0.44</v>
      </c>
    </row>
    <row r="54" spans="1:8" ht="18">
      <c r="A54" s="1">
        <v>3</v>
      </c>
      <c r="B54" s="1" t="s">
        <v>95</v>
      </c>
      <c r="C54" s="1">
        <v>5932</v>
      </c>
      <c r="D54" s="5" t="s">
        <v>130</v>
      </c>
      <c r="E54" s="45" t="s">
        <v>100</v>
      </c>
      <c r="F54" s="86">
        <v>0.01114951499609767</v>
      </c>
      <c r="G54" s="6">
        <v>181.91</v>
      </c>
      <c r="H54" s="6">
        <f t="shared" si="1"/>
        <v>2.03</v>
      </c>
    </row>
    <row r="55" spans="1:8" ht="18">
      <c r="A55" s="1">
        <v>4</v>
      </c>
      <c r="B55" s="1" t="s">
        <v>95</v>
      </c>
      <c r="C55" s="1">
        <v>5934</v>
      </c>
      <c r="D55" s="5" t="s">
        <v>130</v>
      </c>
      <c r="E55" s="45" t="s">
        <v>112</v>
      </c>
      <c r="F55" s="86">
        <v>0</v>
      </c>
      <c r="G55" s="6">
        <v>68.87</v>
      </c>
      <c r="H55" s="6">
        <f t="shared" si="1"/>
        <v>0</v>
      </c>
    </row>
    <row r="56" spans="1:8" ht="18">
      <c r="A56" s="1">
        <v>5</v>
      </c>
      <c r="B56" s="1" t="s">
        <v>95</v>
      </c>
      <c r="C56" s="1">
        <v>5684</v>
      </c>
      <c r="D56" s="5" t="s">
        <v>131</v>
      </c>
      <c r="E56" s="45" t="s">
        <v>100</v>
      </c>
      <c r="F56" s="86">
        <v>0.0036793399487122314</v>
      </c>
      <c r="G56" s="6">
        <v>106.6</v>
      </c>
      <c r="H56" s="6">
        <f t="shared" si="1"/>
        <v>0.39</v>
      </c>
    </row>
    <row r="57" spans="1:8" ht="18">
      <c r="A57" s="1">
        <v>6</v>
      </c>
      <c r="B57" s="1" t="s">
        <v>95</v>
      </c>
      <c r="C57" s="1">
        <v>5685</v>
      </c>
      <c r="D57" s="5" t="s">
        <v>131</v>
      </c>
      <c r="E57" s="45" t="s">
        <v>112</v>
      </c>
      <c r="F57" s="86">
        <v>0.007470175047385439</v>
      </c>
      <c r="G57" s="6">
        <v>41.64</v>
      </c>
      <c r="H57" s="6">
        <f t="shared" si="1"/>
        <v>0.31</v>
      </c>
    </row>
    <row r="58" spans="1:8" ht="18">
      <c r="A58" s="1">
        <v>7</v>
      </c>
      <c r="B58" s="1" t="s">
        <v>95</v>
      </c>
      <c r="C58" s="1">
        <v>88843</v>
      </c>
      <c r="D58" s="5" t="s">
        <v>132</v>
      </c>
      <c r="E58" s="45" t="s">
        <v>100</v>
      </c>
      <c r="F58" s="86">
        <v>0.0037908350986732083</v>
      </c>
      <c r="G58" s="6">
        <v>164.08</v>
      </c>
      <c r="H58" s="6">
        <f t="shared" si="1"/>
        <v>0.62</v>
      </c>
    </row>
    <row r="59" spans="1:8" ht="18">
      <c r="A59" s="1">
        <v>8</v>
      </c>
      <c r="B59" s="1" t="s">
        <v>95</v>
      </c>
      <c r="C59" s="1">
        <v>88844</v>
      </c>
      <c r="D59" s="5" t="s">
        <v>132</v>
      </c>
      <c r="E59" s="45" t="s">
        <v>112</v>
      </c>
      <c r="F59" s="86">
        <v>0.007358679897424463</v>
      </c>
      <c r="G59" s="6">
        <v>60.43</v>
      </c>
      <c r="H59" s="6">
        <f t="shared" si="1"/>
        <v>0.44</v>
      </c>
    </row>
    <row r="60" spans="1:8" ht="18">
      <c r="A60" s="1">
        <v>9</v>
      </c>
      <c r="B60" s="1" t="s">
        <v>95</v>
      </c>
      <c r="C60" s="1">
        <v>88316</v>
      </c>
      <c r="D60" s="5" t="s">
        <v>93</v>
      </c>
      <c r="E60" s="45" t="s">
        <v>92</v>
      </c>
      <c r="F60" s="86">
        <v>0.02229902999219534</v>
      </c>
      <c r="G60" s="6">
        <v>17.11</v>
      </c>
      <c r="H60" s="6">
        <f t="shared" si="1"/>
        <v>0.38</v>
      </c>
    </row>
    <row r="61" spans="1:8" ht="36">
      <c r="A61" s="1">
        <v>10</v>
      </c>
      <c r="B61" s="1" t="s">
        <v>95</v>
      </c>
      <c r="C61" s="1">
        <v>90776</v>
      </c>
      <c r="D61" s="5" t="s">
        <v>133</v>
      </c>
      <c r="E61" s="45" t="s">
        <v>92</v>
      </c>
      <c r="F61" s="86">
        <v>0.01114951499609767</v>
      </c>
      <c r="G61" s="6">
        <v>44.14</v>
      </c>
      <c r="H61" s="6">
        <f t="shared" si="1"/>
        <v>0.49</v>
      </c>
    </row>
    <row r="62" spans="1:8" ht="18">
      <c r="A62" s="1">
        <v>11</v>
      </c>
      <c r="B62" s="1" t="s">
        <v>95</v>
      </c>
      <c r="C62" s="1">
        <v>4730</v>
      </c>
      <c r="D62" s="5" t="s">
        <v>135</v>
      </c>
      <c r="E62" s="45" t="s">
        <v>134</v>
      </c>
      <c r="F62" s="86">
        <v>0.975</v>
      </c>
      <c r="G62" s="6">
        <v>51.98</v>
      </c>
      <c r="H62" s="6">
        <f t="shared" si="1"/>
        <v>50.68</v>
      </c>
    </row>
    <row r="63" spans="1:8" ht="18">
      <c r="A63" s="1">
        <v>12</v>
      </c>
      <c r="B63" s="1" t="s">
        <v>95</v>
      </c>
      <c r="C63" s="1">
        <v>4721</v>
      </c>
      <c r="D63" s="5" t="s">
        <v>136</v>
      </c>
      <c r="E63" s="45" t="s">
        <v>134</v>
      </c>
      <c r="F63" s="86">
        <v>0.375</v>
      </c>
      <c r="G63" s="6">
        <v>55.3</v>
      </c>
      <c r="H63" s="6">
        <f t="shared" si="1"/>
        <v>20.74</v>
      </c>
    </row>
    <row r="64" spans="1:11" s="14" customFormat="1" ht="18">
      <c r="A64" s="58" t="s">
        <v>86</v>
      </c>
      <c r="B64" s="59"/>
      <c r="C64" s="59"/>
      <c r="D64" s="59"/>
      <c r="E64" s="60"/>
      <c r="F64" s="87"/>
      <c r="G64" s="59"/>
      <c r="H64" s="35">
        <f>SUM(H52:H63)</f>
        <v>77.27</v>
      </c>
      <c r="J64" s="264"/>
      <c r="K64" s="265"/>
    </row>
    <row r="66" spans="1:12" s="257" customFormat="1" ht="20.25">
      <c r="A66" s="251" t="s">
        <v>408</v>
      </c>
      <c r="B66" s="252" t="s">
        <v>552</v>
      </c>
      <c r="C66" s="252"/>
      <c r="D66" s="252"/>
      <c r="E66" s="253"/>
      <c r="F66" s="254"/>
      <c r="G66" s="255"/>
      <c r="H66" s="256"/>
      <c r="J66" s="258"/>
      <c r="K66" s="258"/>
      <c r="L66" s="258"/>
    </row>
    <row r="67" spans="1:9" s="266" customFormat="1" ht="24.75" customHeight="1">
      <c r="A67" s="543" t="s">
        <v>0</v>
      </c>
      <c r="B67" s="543" t="s">
        <v>79</v>
      </c>
      <c r="C67" s="543"/>
      <c r="D67" s="545" t="s">
        <v>80</v>
      </c>
      <c r="E67" s="562" t="s">
        <v>8</v>
      </c>
      <c r="F67" s="563" t="s">
        <v>111</v>
      </c>
      <c r="G67" s="562" t="s">
        <v>109</v>
      </c>
      <c r="H67" s="562"/>
      <c r="I67" s="288"/>
    </row>
    <row r="68" spans="1:9" s="266" customFormat="1" ht="24.75" customHeight="1">
      <c r="A68" s="543"/>
      <c r="B68" s="543"/>
      <c r="C68" s="543"/>
      <c r="D68" s="545"/>
      <c r="E68" s="562"/>
      <c r="F68" s="563"/>
      <c r="G68" s="285" t="s">
        <v>110</v>
      </c>
      <c r="H68" s="267" t="s">
        <v>23</v>
      </c>
      <c r="I68" s="289"/>
    </row>
    <row r="69" spans="1:9" s="266" customFormat="1" ht="54">
      <c r="A69" s="245">
        <v>1</v>
      </c>
      <c r="B69" s="245" t="s">
        <v>95</v>
      </c>
      <c r="C69" s="245">
        <v>5839</v>
      </c>
      <c r="D69" s="247" t="s">
        <v>543</v>
      </c>
      <c r="E69" s="248" t="s">
        <v>65</v>
      </c>
      <c r="F69" s="249">
        <v>0.002</v>
      </c>
      <c r="G69" s="268">
        <v>6.48</v>
      </c>
      <c r="H69" s="268">
        <f aca="true" t="shared" si="2" ref="H69:H76">TRUNC(G69*F69,2)</f>
        <v>0.01</v>
      </c>
      <c r="I69" s="289"/>
    </row>
    <row r="70" spans="1:13" s="266" customFormat="1" ht="54">
      <c r="A70" s="245">
        <v>2</v>
      </c>
      <c r="B70" s="245" t="s">
        <v>95</v>
      </c>
      <c r="C70" s="245">
        <v>5841</v>
      </c>
      <c r="D70" s="247" t="s">
        <v>544</v>
      </c>
      <c r="E70" s="248" t="s">
        <v>65</v>
      </c>
      <c r="F70" s="249">
        <v>0.004</v>
      </c>
      <c r="G70" s="268">
        <v>3.08</v>
      </c>
      <c r="H70" s="268">
        <f t="shared" si="2"/>
        <v>0.01</v>
      </c>
      <c r="I70" s="485" t="s">
        <v>549</v>
      </c>
      <c r="J70" s="485" t="s">
        <v>550</v>
      </c>
      <c r="K70" s="485" t="s">
        <v>87</v>
      </c>
      <c r="L70" s="485" t="s">
        <v>88</v>
      </c>
      <c r="M70" s="485" t="s">
        <v>41</v>
      </c>
    </row>
    <row r="71" spans="1:13" s="266" customFormat="1" ht="36">
      <c r="A71" s="245">
        <v>3</v>
      </c>
      <c r="B71" s="245" t="s">
        <v>549</v>
      </c>
      <c r="C71" s="245">
        <v>41901</v>
      </c>
      <c r="D71" s="247" t="s">
        <v>551</v>
      </c>
      <c r="E71" s="248" t="s">
        <v>405</v>
      </c>
      <c r="F71" s="249">
        <v>1.2</v>
      </c>
      <c r="G71" s="262">
        <f>I71*(1+M71)</f>
        <v>4.882657154195733</v>
      </c>
      <c r="H71" s="487">
        <f t="shared" si="2"/>
        <v>5.85</v>
      </c>
      <c r="I71" s="488">
        <v>4.013692687378326</v>
      </c>
      <c r="J71" s="484">
        <v>0.18</v>
      </c>
      <c r="K71" s="484">
        <v>0.0065</v>
      </c>
      <c r="L71" s="484">
        <v>0.03</v>
      </c>
      <c r="M71" s="486">
        <f>SUM(J71:L71)</f>
        <v>0.2165</v>
      </c>
    </row>
    <row r="72" spans="1:9" s="266" customFormat="1" ht="90">
      <c r="A72" s="245">
        <v>4</v>
      </c>
      <c r="B72" s="245" t="s">
        <v>95</v>
      </c>
      <c r="C72" s="245">
        <v>83362</v>
      </c>
      <c r="D72" s="247" t="s">
        <v>545</v>
      </c>
      <c r="E72" s="248" t="s">
        <v>65</v>
      </c>
      <c r="F72" s="249">
        <v>0.001</v>
      </c>
      <c r="G72" s="268">
        <v>214.85</v>
      </c>
      <c r="H72" s="268">
        <f t="shared" si="2"/>
        <v>0.21</v>
      </c>
      <c r="I72" s="289"/>
    </row>
    <row r="73" spans="1:9" s="270" customFormat="1" ht="24.75" customHeight="1">
      <c r="A73" s="245">
        <v>5</v>
      </c>
      <c r="B73" s="246" t="s">
        <v>95</v>
      </c>
      <c r="C73" s="246">
        <v>88316</v>
      </c>
      <c r="D73" s="243" t="s">
        <v>93</v>
      </c>
      <c r="E73" s="45" t="s">
        <v>65</v>
      </c>
      <c r="F73" s="86">
        <v>0.0058</v>
      </c>
      <c r="G73" s="269">
        <v>17.11</v>
      </c>
      <c r="H73" s="269">
        <f t="shared" si="2"/>
        <v>0.09</v>
      </c>
      <c r="I73" s="290"/>
    </row>
    <row r="74" spans="1:8" s="270" customFormat="1" ht="36">
      <c r="A74" s="245">
        <v>6</v>
      </c>
      <c r="B74" s="246" t="s">
        <v>95</v>
      </c>
      <c r="C74" s="246">
        <v>89035</v>
      </c>
      <c r="D74" s="243" t="s">
        <v>547</v>
      </c>
      <c r="E74" s="45" t="s">
        <v>65</v>
      </c>
      <c r="F74" s="86">
        <v>0.0017</v>
      </c>
      <c r="G74" s="269">
        <v>140.47</v>
      </c>
      <c r="H74" s="269">
        <f t="shared" si="2"/>
        <v>0.23</v>
      </c>
    </row>
    <row r="75" spans="1:8" s="270" customFormat="1" ht="36">
      <c r="A75" s="245">
        <v>7</v>
      </c>
      <c r="B75" s="246" t="s">
        <v>95</v>
      </c>
      <c r="C75" s="246">
        <v>89036</v>
      </c>
      <c r="D75" s="243" t="s">
        <v>546</v>
      </c>
      <c r="E75" s="45" t="s">
        <v>65</v>
      </c>
      <c r="F75" s="86">
        <v>0.0041</v>
      </c>
      <c r="G75" s="271">
        <v>40.88</v>
      </c>
      <c r="H75" s="269">
        <f t="shared" si="2"/>
        <v>0.16</v>
      </c>
    </row>
    <row r="76" spans="1:8" s="270" customFormat="1" ht="90">
      <c r="A76" s="245">
        <v>8</v>
      </c>
      <c r="B76" s="246" t="s">
        <v>95</v>
      </c>
      <c r="C76" s="246">
        <v>91486</v>
      </c>
      <c r="D76" s="243" t="s">
        <v>548</v>
      </c>
      <c r="E76" s="45" t="s">
        <v>65</v>
      </c>
      <c r="F76" s="86">
        <v>0.0049</v>
      </c>
      <c r="G76" s="269">
        <v>44.49</v>
      </c>
      <c r="H76" s="269">
        <f t="shared" si="2"/>
        <v>0.21</v>
      </c>
    </row>
    <row r="77" spans="1:8" s="266" customFormat="1" ht="24.75" customHeight="1">
      <c r="A77" s="272" t="s">
        <v>86</v>
      </c>
      <c r="B77" s="273"/>
      <c r="C77" s="273"/>
      <c r="D77" s="273"/>
      <c r="E77" s="274"/>
      <c r="F77" s="275"/>
      <c r="G77" s="273"/>
      <c r="H77" s="276">
        <f>SUM(H69:H76)</f>
        <v>6.77</v>
      </c>
    </row>
  </sheetData>
  <sheetProtection/>
  <mergeCells count="35">
    <mergeCell ref="A6:A7"/>
    <mergeCell ref="B6:C7"/>
    <mergeCell ref="D6:D7"/>
    <mergeCell ref="G50:H50"/>
    <mergeCell ref="G6:H6"/>
    <mergeCell ref="F6:F7"/>
    <mergeCell ref="E40:E41"/>
    <mergeCell ref="F25:F26"/>
    <mergeCell ref="F40:F41"/>
    <mergeCell ref="A25:A26"/>
    <mergeCell ref="G67:H67"/>
    <mergeCell ref="D50:D51"/>
    <mergeCell ref="A50:A51"/>
    <mergeCell ref="F67:F68"/>
    <mergeCell ref="A4:H4"/>
    <mergeCell ref="E67:E68"/>
    <mergeCell ref="A20:H20"/>
    <mergeCell ref="A21:H21"/>
    <mergeCell ref="A22:H22"/>
    <mergeCell ref="E6:E7"/>
    <mergeCell ref="B25:C26"/>
    <mergeCell ref="D25:D26"/>
    <mergeCell ref="E25:E26"/>
    <mergeCell ref="D40:D41"/>
    <mergeCell ref="A47:G47"/>
    <mergeCell ref="A40:A41"/>
    <mergeCell ref="G40:H40"/>
    <mergeCell ref="G25:H25"/>
    <mergeCell ref="A67:A68"/>
    <mergeCell ref="E50:E51"/>
    <mergeCell ref="D67:D68"/>
    <mergeCell ref="B40:C41"/>
    <mergeCell ref="B50:C51"/>
    <mergeCell ref="F50:F51"/>
    <mergeCell ref="B67:C68"/>
  </mergeCells>
  <printOptions/>
  <pageMargins left="0.3937007874015748" right="0.3937007874015748" top="0.3937007874015748" bottom="0.3937007874015748" header="0" footer="0"/>
  <pageSetup fitToHeight="0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6"/>
  <sheetViews>
    <sheetView showGridLines="0" view="pageBreakPreview" zoomScale="85" zoomScaleSheetLayoutView="85" zoomScalePageLayoutView="0" workbookViewId="0" topLeftCell="A124">
      <selection activeCell="O183" sqref="O183"/>
    </sheetView>
  </sheetViews>
  <sheetFormatPr defaultColWidth="9.140625" defaultRowHeight="20.25" customHeight="1"/>
  <cols>
    <col min="1" max="1" width="12.7109375" style="303" customWidth="1"/>
    <col min="2" max="3" width="15.28125" style="304" customWidth="1"/>
    <col min="4" max="4" width="12.7109375" style="304" customWidth="1"/>
    <col min="5" max="5" width="15.28125" style="304" customWidth="1"/>
    <col min="6" max="6" width="12.7109375" style="304" customWidth="1"/>
    <col min="7" max="7" width="15.28125" style="304" customWidth="1"/>
    <col min="8" max="8" width="12.7109375" style="304" customWidth="1"/>
    <col min="9" max="9" width="15.28125" style="304" customWidth="1"/>
    <col min="10" max="10" width="12.7109375" style="304" customWidth="1"/>
    <col min="11" max="11" width="15.28125" style="304" customWidth="1"/>
    <col min="12" max="12" width="12.7109375" style="304" customWidth="1"/>
    <col min="13" max="16384" width="9.140625" style="298" customWidth="1"/>
  </cols>
  <sheetData>
    <row r="1" spans="1:12" s="293" customFormat="1" ht="13.5">
      <c r="A1" s="291" t="str">
        <f>Orçamento!A1</f>
        <v>PREFEITURA MUNICIPAL DE FONTOURA XAVIER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s="293" customFormat="1" ht="13.5">
      <c r="A2" s="291" t="str">
        <f>Orçamento!A2</f>
        <v>Obra: Pavimentação Asfáltica da Estrada de Ligação à BR-386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2" s="293" customFormat="1" ht="13.5">
      <c r="A3" s="294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s="293" customFormat="1" ht="13.5">
      <c r="A4" s="579" t="s">
        <v>387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1"/>
    </row>
    <row r="5" spans="1:12" s="293" customFormat="1" ht="13.5">
      <c r="A5" s="582" t="s">
        <v>113</v>
      </c>
      <c r="B5" s="583" t="s">
        <v>388</v>
      </c>
      <c r="C5" s="583" t="s">
        <v>114</v>
      </c>
      <c r="D5" s="583"/>
      <c r="E5" s="583" t="s">
        <v>115</v>
      </c>
      <c r="F5" s="583"/>
      <c r="G5" s="583" t="s">
        <v>389</v>
      </c>
      <c r="H5" s="583"/>
      <c r="I5" s="583" t="s">
        <v>116</v>
      </c>
      <c r="J5" s="583"/>
      <c r="K5" s="583" t="s">
        <v>52</v>
      </c>
      <c r="L5" s="583"/>
    </row>
    <row r="6" spans="1:12" s="293" customFormat="1" ht="13.5">
      <c r="A6" s="582"/>
      <c r="B6" s="583"/>
      <c r="C6" s="295" t="s">
        <v>384</v>
      </c>
      <c r="D6" s="295" t="s">
        <v>390</v>
      </c>
      <c r="E6" s="295" t="s">
        <v>384</v>
      </c>
      <c r="F6" s="295" t="s">
        <v>390</v>
      </c>
      <c r="G6" s="295" t="s">
        <v>384</v>
      </c>
      <c r="H6" s="295" t="s">
        <v>390</v>
      </c>
      <c r="I6" s="295" t="s">
        <v>384</v>
      </c>
      <c r="J6" s="295" t="s">
        <v>390</v>
      </c>
      <c r="K6" s="295" t="s">
        <v>384</v>
      </c>
      <c r="L6" s="295" t="s">
        <v>390</v>
      </c>
    </row>
    <row r="7" spans="1:12" ht="13.5">
      <c r="A7" s="385">
        <v>235</v>
      </c>
      <c r="B7" s="386"/>
      <c r="C7" s="297">
        <v>0.82</v>
      </c>
      <c r="D7" s="296"/>
      <c r="E7" s="296">
        <v>0</v>
      </c>
      <c r="F7" s="296"/>
      <c r="G7" s="296">
        <v>0.41</v>
      </c>
      <c r="H7" s="296"/>
      <c r="I7" s="296">
        <v>0.41</v>
      </c>
      <c r="J7" s="296"/>
      <c r="K7" s="387">
        <v>0.26</v>
      </c>
      <c r="L7" s="296"/>
    </row>
    <row r="8" spans="1:12" ht="13.5">
      <c r="A8" s="385"/>
      <c r="B8" s="296">
        <f>ROUND((A9-A7)/2,3)</f>
        <v>1.74</v>
      </c>
      <c r="C8" s="297"/>
      <c r="D8" s="296">
        <f>(C9+C7)*$B8</f>
        <v>2.6448</v>
      </c>
      <c r="E8" s="296"/>
      <c r="F8" s="296">
        <f>(E9+E7)*$B8</f>
        <v>0</v>
      </c>
      <c r="G8" s="296"/>
      <c r="H8" s="296">
        <f>(G9+G7)*$B8</f>
        <v>1.2006</v>
      </c>
      <c r="I8" s="296"/>
      <c r="J8" s="296">
        <f>(I9+I7)*$B8</f>
        <v>1.4442</v>
      </c>
      <c r="K8" s="387"/>
      <c r="L8" s="296">
        <f>(K9+K7)*$B8</f>
        <v>1.2353999999999998</v>
      </c>
    </row>
    <row r="9" spans="1:12" ht="13.5">
      <c r="A9" s="385">
        <v>238.48</v>
      </c>
      <c r="B9" s="296"/>
      <c r="C9" s="297">
        <v>0.7</v>
      </c>
      <c r="D9" s="296"/>
      <c r="E9" s="296">
        <v>0</v>
      </c>
      <c r="F9" s="296"/>
      <c r="G9" s="296">
        <v>0.27999999999999997</v>
      </c>
      <c r="H9" s="296"/>
      <c r="I9" s="296">
        <v>0.42</v>
      </c>
      <c r="J9" s="296"/>
      <c r="K9" s="387">
        <v>0.45</v>
      </c>
      <c r="L9" s="296"/>
    </row>
    <row r="10" spans="1:12" ht="13.5">
      <c r="A10" s="385"/>
      <c r="B10" s="296">
        <f>ROUND((A11-A9)/2,3)</f>
        <v>0.76</v>
      </c>
      <c r="C10" s="297"/>
      <c r="D10" s="296">
        <f>(C11+C9)*$B10</f>
        <v>1.0184</v>
      </c>
      <c r="E10" s="296"/>
      <c r="F10" s="296">
        <f>(E11+E9)*$B10</f>
        <v>0</v>
      </c>
      <c r="G10" s="296"/>
      <c r="H10" s="296">
        <f>(G11+G9)*$B10</f>
        <v>0.31007999999999997</v>
      </c>
      <c r="I10" s="296"/>
      <c r="J10" s="296">
        <f>(I11+I9)*$B10</f>
        <v>0.70832</v>
      </c>
      <c r="K10" s="387"/>
      <c r="L10" s="296">
        <f>(K11+K9)*$B10</f>
        <v>0.5624</v>
      </c>
    </row>
    <row r="11" spans="1:12" ht="13.5">
      <c r="A11" s="385">
        <v>240</v>
      </c>
      <c r="B11" s="296"/>
      <c r="C11" s="297">
        <v>0.64</v>
      </c>
      <c r="D11" s="296"/>
      <c r="E11" s="296">
        <v>0</v>
      </c>
      <c r="F11" s="296"/>
      <c r="G11" s="296">
        <v>0.128</v>
      </c>
      <c r="H11" s="296"/>
      <c r="I11" s="296">
        <v>0.512</v>
      </c>
      <c r="J11" s="296"/>
      <c r="K11" s="387">
        <v>0.29</v>
      </c>
      <c r="L11" s="296"/>
    </row>
    <row r="12" spans="1:12" ht="13.5">
      <c r="A12" s="385"/>
      <c r="B12" s="296">
        <f>ROUND((A13-A11)/2,3)</f>
        <v>9.115</v>
      </c>
      <c r="C12" s="297"/>
      <c r="D12" s="296">
        <f>(C13+C11)*$B12</f>
        <v>7.656600000000001</v>
      </c>
      <c r="E12" s="296"/>
      <c r="F12" s="296">
        <f>(E13+E11)*$B12</f>
        <v>0</v>
      </c>
      <c r="G12" s="296"/>
      <c r="H12" s="296">
        <f>(G13+G11)*$B12</f>
        <v>1.16672</v>
      </c>
      <c r="I12" s="296"/>
      <c r="J12" s="296">
        <f>(I13+I11)*$B12</f>
        <v>6.489879999999999</v>
      </c>
      <c r="K12" s="387"/>
      <c r="L12" s="296">
        <f>(K13+K11)*$B12</f>
        <v>9.2973</v>
      </c>
    </row>
    <row r="13" spans="1:12" ht="13.5">
      <c r="A13" s="385">
        <v>258.23</v>
      </c>
      <c r="B13" s="296"/>
      <c r="C13" s="297">
        <v>0.2</v>
      </c>
      <c r="D13" s="296"/>
      <c r="E13" s="296">
        <v>0</v>
      </c>
      <c r="F13" s="296"/>
      <c r="G13" s="296">
        <v>0</v>
      </c>
      <c r="H13" s="296"/>
      <c r="I13" s="296">
        <v>0.2</v>
      </c>
      <c r="J13" s="296"/>
      <c r="K13" s="387">
        <v>0.73</v>
      </c>
      <c r="L13" s="296"/>
    </row>
    <row r="14" spans="1:12" ht="13.5">
      <c r="A14" s="385"/>
      <c r="B14" s="296">
        <f>ROUND((A15-A13)/2,3)</f>
        <v>0.885</v>
      </c>
      <c r="C14" s="297"/>
      <c r="D14" s="296">
        <f>(C15+C13)*$B14</f>
        <v>0.29205000000000003</v>
      </c>
      <c r="E14" s="296"/>
      <c r="F14" s="296">
        <f>(E15+E13)*$B14</f>
        <v>0</v>
      </c>
      <c r="G14" s="296"/>
      <c r="H14" s="296">
        <f>(G15+G13)*$B14</f>
        <v>0</v>
      </c>
      <c r="I14" s="296"/>
      <c r="J14" s="296">
        <f>(I15+I13)*$B14</f>
        <v>0.29205000000000003</v>
      </c>
      <c r="K14" s="387"/>
      <c r="L14" s="296">
        <f>(K15+K13)*$B14</f>
        <v>1.4160000000000001</v>
      </c>
    </row>
    <row r="15" spans="1:12" ht="13.5">
      <c r="A15" s="385">
        <v>260</v>
      </c>
      <c r="B15" s="296"/>
      <c r="C15" s="297">
        <v>0.13</v>
      </c>
      <c r="D15" s="296"/>
      <c r="E15" s="296">
        <v>0</v>
      </c>
      <c r="F15" s="296"/>
      <c r="G15" s="296">
        <v>0</v>
      </c>
      <c r="H15" s="296"/>
      <c r="I15" s="296">
        <v>0.13</v>
      </c>
      <c r="J15" s="296"/>
      <c r="K15" s="387">
        <v>0.87</v>
      </c>
      <c r="L15" s="296"/>
    </row>
    <row r="16" spans="1:12" ht="13.5">
      <c r="A16" s="385"/>
      <c r="B16" s="296">
        <f>ROUND((A17-A15)/2,3)</f>
        <v>8.995</v>
      </c>
      <c r="C16" s="297"/>
      <c r="D16" s="296">
        <f>(C17+C15)*$B16</f>
        <v>1.16935</v>
      </c>
      <c r="E16" s="296"/>
      <c r="F16" s="296">
        <f>(E17+E15)*$B16</f>
        <v>0</v>
      </c>
      <c r="G16" s="296"/>
      <c r="H16" s="296">
        <f>(G17+G15)*$B16</f>
        <v>0</v>
      </c>
      <c r="I16" s="296"/>
      <c r="J16" s="296">
        <f>(I17+I15)*$B16</f>
        <v>1.16935</v>
      </c>
      <c r="K16" s="387"/>
      <c r="L16" s="296">
        <f>(K17+K15)*$B16</f>
        <v>25.725699999999996</v>
      </c>
    </row>
    <row r="17" spans="1:12" ht="13.5">
      <c r="A17" s="385">
        <v>277.99</v>
      </c>
      <c r="B17" s="296"/>
      <c r="C17" s="297">
        <v>0</v>
      </c>
      <c r="D17" s="296"/>
      <c r="E17" s="296">
        <v>0</v>
      </c>
      <c r="F17" s="296"/>
      <c r="G17" s="296">
        <v>0</v>
      </c>
      <c r="H17" s="296"/>
      <c r="I17" s="296">
        <v>0</v>
      </c>
      <c r="J17" s="296"/>
      <c r="K17" s="387">
        <v>1.99</v>
      </c>
      <c r="L17" s="296"/>
    </row>
    <row r="18" spans="1:12" ht="13.5">
      <c r="A18" s="385"/>
      <c r="B18" s="296">
        <f>ROUND((A19-A17)/2,3)</f>
        <v>1.005</v>
      </c>
      <c r="C18" s="297"/>
      <c r="D18" s="296">
        <f>(C19+C17)*$B18</f>
        <v>0</v>
      </c>
      <c r="E18" s="296"/>
      <c r="F18" s="296">
        <f>(E19+E17)*$B18</f>
        <v>0</v>
      </c>
      <c r="G18" s="296"/>
      <c r="H18" s="296">
        <f>(G19+G17)*$B18</f>
        <v>0</v>
      </c>
      <c r="I18" s="296"/>
      <c r="J18" s="296">
        <f>(I19+I17)*$B18</f>
        <v>0</v>
      </c>
      <c r="K18" s="387"/>
      <c r="L18" s="296">
        <f>(K19+K17)*$B18</f>
        <v>4.09035</v>
      </c>
    </row>
    <row r="19" spans="1:12" ht="13.5">
      <c r="A19" s="385">
        <v>280</v>
      </c>
      <c r="B19" s="296"/>
      <c r="C19" s="297">
        <v>0</v>
      </c>
      <c r="D19" s="296"/>
      <c r="E19" s="296">
        <v>0</v>
      </c>
      <c r="F19" s="296"/>
      <c r="G19" s="296">
        <v>0</v>
      </c>
      <c r="H19" s="296"/>
      <c r="I19" s="296">
        <v>0</v>
      </c>
      <c r="J19" s="296"/>
      <c r="K19" s="387">
        <v>2.08</v>
      </c>
      <c r="L19" s="296"/>
    </row>
    <row r="20" spans="1:12" ht="13.5">
      <c r="A20" s="385"/>
      <c r="B20" s="296">
        <f>ROUND((A21-A19)/2,3)</f>
        <v>10</v>
      </c>
      <c r="C20" s="297"/>
      <c r="D20" s="296">
        <f>(C21+C19)*$B20</f>
        <v>0.1</v>
      </c>
      <c r="E20" s="296"/>
      <c r="F20" s="296">
        <f>(E21+E19)*$B20</f>
        <v>0</v>
      </c>
      <c r="G20" s="296"/>
      <c r="H20" s="296">
        <f>(G21+G19)*$B20</f>
        <v>0.015</v>
      </c>
      <c r="I20" s="296"/>
      <c r="J20" s="296">
        <f>(I21+I19)*$B20</f>
        <v>0.085</v>
      </c>
      <c r="K20" s="387"/>
      <c r="L20" s="296">
        <f>(K21+K19)*$B20</f>
        <v>26.9</v>
      </c>
    </row>
    <row r="21" spans="1:12" ht="13.5">
      <c r="A21" s="385">
        <v>300</v>
      </c>
      <c r="B21" s="296"/>
      <c r="C21" s="297">
        <v>0.01</v>
      </c>
      <c r="D21" s="296"/>
      <c r="E21" s="296">
        <v>0</v>
      </c>
      <c r="F21" s="296"/>
      <c r="G21" s="296">
        <v>0.0015</v>
      </c>
      <c r="H21" s="296"/>
      <c r="I21" s="296">
        <v>0.0085</v>
      </c>
      <c r="J21" s="296"/>
      <c r="K21" s="387">
        <v>0.61</v>
      </c>
      <c r="L21" s="296"/>
    </row>
    <row r="22" spans="1:12" ht="13.5">
      <c r="A22" s="385"/>
      <c r="B22" s="296">
        <f>ROUND((A23-A21)/2,3)</f>
        <v>10</v>
      </c>
      <c r="C22" s="297"/>
      <c r="D22" s="296">
        <f>(C23+C21)*$B22</f>
        <v>9.7</v>
      </c>
      <c r="E22" s="296"/>
      <c r="F22" s="296">
        <f>(E23+E21)*$B22</f>
        <v>0</v>
      </c>
      <c r="G22" s="296"/>
      <c r="H22" s="296">
        <f>(G23+G21)*$B22</f>
        <v>2.8949999999999996</v>
      </c>
      <c r="I22" s="296"/>
      <c r="J22" s="296">
        <f>(I23+I21)*$B22</f>
        <v>6.804999999999999</v>
      </c>
      <c r="K22" s="387"/>
      <c r="L22" s="296">
        <f>(K23+K21)*$B22</f>
        <v>13.900000000000002</v>
      </c>
    </row>
    <row r="23" spans="1:12" ht="13.5">
      <c r="A23" s="385">
        <v>320</v>
      </c>
      <c r="B23" s="296"/>
      <c r="C23" s="297">
        <v>0.96</v>
      </c>
      <c r="D23" s="296"/>
      <c r="E23" s="296">
        <v>0</v>
      </c>
      <c r="F23" s="296"/>
      <c r="G23" s="296">
        <v>0.288</v>
      </c>
      <c r="H23" s="296"/>
      <c r="I23" s="296">
        <v>0.6719999999999999</v>
      </c>
      <c r="J23" s="296"/>
      <c r="K23" s="387">
        <v>0.78</v>
      </c>
      <c r="L23" s="296"/>
    </row>
    <row r="24" spans="1:12" ht="13.5">
      <c r="A24" s="385"/>
      <c r="B24" s="296">
        <f>ROUND((A25-A23)/2,3)</f>
        <v>10</v>
      </c>
      <c r="C24" s="297"/>
      <c r="D24" s="296">
        <f>(C25+C23)*$B24</f>
        <v>16.099999999999998</v>
      </c>
      <c r="E24" s="296"/>
      <c r="F24" s="296">
        <f>(E25+E23)*$B24</f>
        <v>0</v>
      </c>
      <c r="G24" s="296"/>
      <c r="H24" s="296">
        <f>(G25+G23)*$B24</f>
        <v>6.13</v>
      </c>
      <c r="I24" s="296"/>
      <c r="J24" s="296">
        <f>(I25+I23)*$B24</f>
        <v>9.969999999999999</v>
      </c>
      <c r="K24" s="387"/>
      <c r="L24" s="296">
        <f>(K25+K23)*$B24</f>
        <v>25.700000000000003</v>
      </c>
    </row>
    <row r="25" spans="1:12" ht="13.5">
      <c r="A25" s="385">
        <v>340</v>
      </c>
      <c r="B25" s="296"/>
      <c r="C25" s="297">
        <v>0.65</v>
      </c>
      <c r="D25" s="296"/>
      <c r="E25" s="296">
        <v>0</v>
      </c>
      <c r="F25" s="296"/>
      <c r="G25" s="296">
        <v>0.325</v>
      </c>
      <c r="H25" s="296"/>
      <c r="I25" s="296">
        <v>0.325</v>
      </c>
      <c r="J25" s="296"/>
      <c r="K25" s="387">
        <v>1.79</v>
      </c>
      <c r="L25" s="296"/>
    </row>
    <row r="26" spans="1:12" ht="13.5">
      <c r="A26" s="385"/>
      <c r="B26" s="296">
        <f>ROUND((A27-A25)/2,3)</f>
        <v>10</v>
      </c>
      <c r="C26" s="297"/>
      <c r="D26" s="296">
        <f>(C27+C25)*$B26</f>
        <v>12.3</v>
      </c>
      <c r="E26" s="296"/>
      <c r="F26" s="296">
        <f>(E27+E25)*$B26</f>
        <v>0</v>
      </c>
      <c r="G26" s="296"/>
      <c r="H26" s="296">
        <f>(G27+G25)*$B26</f>
        <v>4.99</v>
      </c>
      <c r="I26" s="296"/>
      <c r="J26" s="296">
        <f>(I27+I25)*$B26</f>
        <v>7.31</v>
      </c>
      <c r="K26" s="387"/>
      <c r="L26" s="296">
        <f>(K27+K25)*$B26</f>
        <v>26.400000000000002</v>
      </c>
    </row>
    <row r="27" spans="1:12" ht="13.5">
      <c r="A27" s="385">
        <v>360</v>
      </c>
      <c r="B27" s="296"/>
      <c r="C27" s="297">
        <v>0.58</v>
      </c>
      <c r="D27" s="296"/>
      <c r="E27" s="296">
        <v>0</v>
      </c>
      <c r="F27" s="296"/>
      <c r="G27" s="296">
        <v>0.174</v>
      </c>
      <c r="H27" s="296"/>
      <c r="I27" s="296">
        <v>0.40599999999999997</v>
      </c>
      <c r="J27" s="296"/>
      <c r="K27" s="387">
        <v>0.85</v>
      </c>
      <c r="L27" s="296"/>
    </row>
    <row r="28" spans="1:12" ht="13.5">
      <c r="A28" s="385"/>
      <c r="B28" s="296">
        <f>ROUND((A29-A27)/2,3)</f>
        <v>8.525</v>
      </c>
      <c r="C28" s="297"/>
      <c r="D28" s="296">
        <f>(C29+C27)*$B28</f>
        <v>12.702250000000001</v>
      </c>
      <c r="E28" s="296"/>
      <c r="F28" s="296">
        <f>(E29+E27)*$B28</f>
        <v>0</v>
      </c>
      <c r="G28" s="296"/>
      <c r="H28" s="296">
        <f>(G29+G27)*$B28</f>
        <v>2.6470125</v>
      </c>
      <c r="I28" s="296"/>
      <c r="J28" s="296">
        <f>(I29+I27)*$B28</f>
        <v>10.0552375</v>
      </c>
      <c r="K28" s="387"/>
      <c r="L28" s="296">
        <f>(K29+K27)*$B28</f>
        <v>11.7645</v>
      </c>
    </row>
    <row r="29" spans="1:12" ht="13.5">
      <c r="A29" s="385">
        <v>377.05</v>
      </c>
      <c r="B29" s="296"/>
      <c r="C29" s="297">
        <v>0.91</v>
      </c>
      <c r="D29" s="296"/>
      <c r="E29" s="296">
        <v>0</v>
      </c>
      <c r="F29" s="296"/>
      <c r="G29" s="296">
        <v>0.1365</v>
      </c>
      <c r="H29" s="296"/>
      <c r="I29" s="296">
        <v>0.7735</v>
      </c>
      <c r="J29" s="296"/>
      <c r="K29" s="387">
        <v>0.53</v>
      </c>
      <c r="L29" s="296"/>
    </row>
    <row r="30" spans="1:12" ht="13.5">
      <c r="A30" s="385"/>
      <c r="B30" s="296">
        <f>ROUND((A31-A29)/2,3)</f>
        <v>1.475</v>
      </c>
      <c r="C30" s="297"/>
      <c r="D30" s="296">
        <f>(C31+C29)*$B30</f>
        <v>2.596</v>
      </c>
      <c r="E30" s="296"/>
      <c r="F30" s="296">
        <f>(E31+E29)*$B30</f>
        <v>0</v>
      </c>
      <c r="G30" s="296"/>
      <c r="H30" s="296">
        <f>(G31+G29)*$B30</f>
        <v>0.20133750000000003</v>
      </c>
      <c r="I30" s="296"/>
      <c r="J30" s="296">
        <f>(I31+I29)*$B30</f>
        <v>2.3946625</v>
      </c>
      <c r="K30" s="387"/>
      <c r="L30" s="296">
        <f>(K31+K29)*$B30</f>
        <v>1.5192500000000002</v>
      </c>
    </row>
    <row r="31" spans="1:12" ht="13.5">
      <c r="A31" s="385">
        <v>380</v>
      </c>
      <c r="B31" s="296"/>
      <c r="C31" s="297">
        <v>0.85</v>
      </c>
      <c r="D31" s="296"/>
      <c r="E31" s="296">
        <v>0</v>
      </c>
      <c r="F31" s="296"/>
      <c r="G31" s="296">
        <v>0</v>
      </c>
      <c r="H31" s="296"/>
      <c r="I31" s="296">
        <v>0.85</v>
      </c>
      <c r="J31" s="296"/>
      <c r="K31" s="387">
        <v>0.5</v>
      </c>
      <c r="L31" s="296"/>
    </row>
    <row r="32" spans="1:12" ht="13.5">
      <c r="A32" s="385"/>
      <c r="B32" s="296">
        <f>ROUND((A33-A31)/2,3)</f>
        <v>6.92</v>
      </c>
      <c r="C32" s="297"/>
      <c r="D32" s="296">
        <f>(C33+C31)*$B32</f>
        <v>5.882</v>
      </c>
      <c r="E32" s="296"/>
      <c r="F32" s="296">
        <f>(E33+E31)*$B32</f>
        <v>0</v>
      </c>
      <c r="G32" s="296"/>
      <c r="H32" s="296">
        <f>(G33+G31)*$B32</f>
        <v>0</v>
      </c>
      <c r="I32" s="296"/>
      <c r="J32" s="296">
        <f>(I33+I31)*$B32</f>
        <v>5.882</v>
      </c>
      <c r="K32" s="387"/>
      <c r="L32" s="296">
        <f>(K33+K31)*$B32</f>
        <v>13.286399999999999</v>
      </c>
    </row>
    <row r="33" spans="1:12" ht="13.5">
      <c r="A33" s="385">
        <v>393.84</v>
      </c>
      <c r="B33" s="296"/>
      <c r="C33" s="297">
        <v>0</v>
      </c>
      <c r="D33" s="296"/>
      <c r="E33" s="296">
        <v>0</v>
      </c>
      <c r="F33" s="296"/>
      <c r="G33" s="296">
        <v>0</v>
      </c>
      <c r="H33" s="296"/>
      <c r="I33" s="296">
        <v>0</v>
      </c>
      <c r="J33" s="296"/>
      <c r="K33" s="387">
        <v>1.42</v>
      </c>
      <c r="L33" s="296"/>
    </row>
    <row r="34" spans="1:12" ht="13.5">
      <c r="A34" s="385"/>
      <c r="B34" s="296">
        <f>ROUND((A35-A33)/2,3)</f>
        <v>3.08</v>
      </c>
      <c r="C34" s="297"/>
      <c r="D34" s="296">
        <f>(C35+C33)*$B34</f>
        <v>0</v>
      </c>
      <c r="E34" s="296"/>
      <c r="F34" s="296">
        <f>(E35+E33)*$B34</f>
        <v>0</v>
      </c>
      <c r="G34" s="296"/>
      <c r="H34" s="296">
        <f>(G35+G33)*$B34</f>
        <v>0</v>
      </c>
      <c r="I34" s="296"/>
      <c r="J34" s="296">
        <f>(I35+I33)*$B34</f>
        <v>0</v>
      </c>
      <c r="K34" s="387"/>
      <c r="L34" s="296">
        <f>(K35+K33)*$B34</f>
        <v>10.194799999999999</v>
      </c>
    </row>
    <row r="35" spans="1:12" ht="13.5">
      <c r="A35" s="385">
        <v>400</v>
      </c>
      <c r="B35" s="296"/>
      <c r="C35" s="297">
        <v>0</v>
      </c>
      <c r="D35" s="296"/>
      <c r="E35" s="296">
        <v>0</v>
      </c>
      <c r="F35" s="296"/>
      <c r="G35" s="296">
        <v>0</v>
      </c>
      <c r="H35" s="296"/>
      <c r="I35" s="296">
        <v>0</v>
      </c>
      <c r="J35" s="296"/>
      <c r="K35" s="387">
        <v>1.89</v>
      </c>
      <c r="L35" s="296"/>
    </row>
    <row r="36" spans="1:19" ht="13.5">
      <c r="A36" s="385"/>
      <c r="B36" s="296">
        <f>ROUND((A37-A35)/2,3)</f>
        <v>5.315</v>
      </c>
      <c r="C36" s="297"/>
      <c r="D36" s="296">
        <f>(C37+C35)*$B36</f>
        <v>0.1063</v>
      </c>
      <c r="E36" s="296"/>
      <c r="F36" s="296">
        <f>(E37+E35)*$B36</f>
        <v>0</v>
      </c>
      <c r="G36" s="296"/>
      <c r="H36" s="296">
        <f>(G37+G35)*$B36</f>
        <v>0.01063</v>
      </c>
      <c r="I36" s="296"/>
      <c r="J36" s="296">
        <f>(I37+I35)*$B36</f>
        <v>0.09567000000000002</v>
      </c>
      <c r="K36" s="387"/>
      <c r="L36" s="296">
        <f>(K37+K35)*$B36</f>
        <v>24.2364</v>
      </c>
      <c r="O36" s="578"/>
      <c r="P36" s="578"/>
      <c r="R36" s="578"/>
      <c r="S36" s="578"/>
    </row>
    <row r="37" spans="1:14" ht="13.5">
      <c r="A37" s="385">
        <v>410.63</v>
      </c>
      <c r="B37" s="296"/>
      <c r="C37" s="297">
        <v>0.02</v>
      </c>
      <c r="D37" s="296"/>
      <c r="E37" s="296">
        <v>0</v>
      </c>
      <c r="F37" s="296"/>
      <c r="G37" s="296">
        <v>0.002</v>
      </c>
      <c r="H37" s="296"/>
      <c r="I37" s="296">
        <v>0.018000000000000002</v>
      </c>
      <c r="J37" s="296"/>
      <c r="K37" s="387">
        <v>2.67</v>
      </c>
      <c r="L37" s="296"/>
      <c r="N37" s="299"/>
    </row>
    <row r="38" spans="1:14" s="382" customFormat="1" ht="13.5">
      <c r="A38" s="385"/>
      <c r="B38" s="296">
        <f>ROUND((A39-A37)/2,3)</f>
        <v>4.685</v>
      </c>
      <c r="C38" s="297"/>
      <c r="D38" s="296">
        <f>(C39+C37)*$B38</f>
        <v>0.09369999999999999</v>
      </c>
      <c r="E38" s="296"/>
      <c r="F38" s="296">
        <f>(E39+E37)*$B38</f>
        <v>0</v>
      </c>
      <c r="G38" s="296"/>
      <c r="H38" s="296">
        <f>(G39+G37)*$B38</f>
        <v>0.00937</v>
      </c>
      <c r="I38" s="296"/>
      <c r="J38" s="296">
        <f>(I39+I37)*$B38</f>
        <v>0.08433</v>
      </c>
      <c r="K38" s="387"/>
      <c r="L38" s="296">
        <f>(K39+K37)*$B38</f>
        <v>26.8919</v>
      </c>
      <c r="N38" s="299"/>
    </row>
    <row r="39" spans="1:12" s="382" customFormat="1" ht="13.5">
      <c r="A39" s="385">
        <v>420</v>
      </c>
      <c r="B39" s="296"/>
      <c r="C39" s="297">
        <v>0</v>
      </c>
      <c r="D39" s="296"/>
      <c r="E39" s="296">
        <v>0</v>
      </c>
      <c r="F39" s="296"/>
      <c r="G39" s="296">
        <v>0</v>
      </c>
      <c r="H39" s="296"/>
      <c r="I39" s="296">
        <v>0</v>
      </c>
      <c r="J39" s="296"/>
      <c r="K39" s="387">
        <v>3.07</v>
      </c>
      <c r="L39" s="296"/>
    </row>
    <row r="40" spans="1:12" s="382" customFormat="1" ht="13.5">
      <c r="A40" s="385"/>
      <c r="B40" s="296">
        <f>ROUND((A41-A39)/2,3)</f>
        <v>10</v>
      </c>
      <c r="C40" s="297"/>
      <c r="D40" s="296">
        <f>(C41+C39)*$B40</f>
        <v>0</v>
      </c>
      <c r="E40" s="296"/>
      <c r="F40" s="296">
        <f>(E41+E39)*$B40</f>
        <v>0</v>
      </c>
      <c r="G40" s="296"/>
      <c r="H40" s="296">
        <f>(G41+G39)*$B40</f>
        <v>0</v>
      </c>
      <c r="I40" s="296"/>
      <c r="J40" s="296">
        <f>(I41+I39)*$B40</f>
        <v>0</v>
      </c>
      <c r="K40" s="387"/>
      <c r="L40" s="296">
        <f>(K41+K39)*$B40</f>
        <v>74.39999999999999</v>
      </c>
    </row>
    <row r="41" spans="1:12" s="382" customFormat="1" ht="13.5">
      <c r="A41" s="385">
        <v>440</v>
      </c>
      <c r="B41" s="296"/>
      <c r="C41" s="297">
        <v>0</v>
      </c>
      <c r="D41" s="296"/>
      <c r="E41" s="296">
        <v>0</v>
      </c>
      <c r="F41" s="296"/>
      <c r="G41" s="296">
        <v>0</v>
      </c>
      <c r="H41" s="296"/>
      <c r="I41" s="296">
        <v>0</v>
      </c>
      <c r="J41" s="296"/>
      <c r="K41" s="387">
        <v>4.37</v>
      </c>
      <c r="L41" s="296"/>
    </row>
    <row r="42" spans="1:12" s="382" customFormat="1" ht="13.5">
      <c r="A42" s="385"/>
      <c r="B42" s="296">
        <f>ROUND((A43-A41)/2,3)</f>
        <v>4.545</v>
      </c>
      <c r="C42" s="297"/>
      <c r="D42" s="296">
        <f>(C43+C41)*$B42</f>
        <v>0</v>
      </c>
      <c r="E42" s="296"/>
      <c r="F42" s="296">
        <f>(E43+E41)*$B42</f>
        <v>0</v>
      </c>
      <c r="G42" s="296"/>
      <c r="H42" s="296">
        <f>(G43+G41)*$B42</f>
        <v>0</v>
      </c>
      <c r="I42" s="296"/>
      <c r="J42" s="296">
        <f>(I43+I41)*$B42</f>
        <v>0</v>
      </c>
      <c r="K42" s="387"/>
      <c r="L42" s="296">
        <f>(K43+K41)*$B42</f>
        <v>41.49585</v>
      </c>
    </row>
    <row r="43" spans="1:12" s="382" customFormat="1" ht="13.5">
      <c r="A43" s="385">
        <v>449.09</v>
      </c>
      <c r="B43" s="296"/>
      <c r="C43" s="297">
        <v>0</v>
      </c>
      <c r="D43" s="296"/>
      <c r="E43" s="296">
        <v>0</v>
      </c>
      <c r="F43" s="296"/>
      <c r="G43" s="296">
        <v>0</v>
      </c>
      <c r="H43" s="296"/>
      <c r="I43" s="296">
        <v>0</v>
      </c>
      <c r="J43" s="296"/>
      <c r="K43" s="387">
        <v>4.76</v>
      </c>
      <c r="L43" s="296"/>
    </row>
    <row r="44" spans="1:12" s="382" customFormat="1" ht="13.5">
      <c r="A44" s="385"/>
      <c r="B44" s="296">
        <f>ROUND((A45-A43)/2,3)</f>
        <v>5.455</v>
      </c>
      <c r="C44" s="297"/>
      <c r="D44" s="296">
        <f>(C45+C43)*$B44</f>
        <v>0</v>
      </c>
      <c r="E44" s="296"/>
      <c r="F44" s="296">
        <f>(E45+E43)*$B44</f>
        <v>0</v>
      </c>
      <c r="G44" s="296"/>
      <c r="H44" s="296">
        <f>(G45+G43)*$B44</f>
        <v>0</v>
      </c>
      <c r="I44" s="296"/>
      <c r="J44" s="296">
        <f>(I45+I43)*$B44</f>
        <v>0</v>
      </c>
      <c r="K44" s="387"/>
      <c r="L44" s="296">
        <f>(K45+K43)*$B44</f>
        <v>46.967549999999996</v>
      </c>
    </row>
    <row r="45" spans="1:12" s="382" customFormat="1" ht="13.5">
      <c r="A45" s="385">
        <v>460</v>
      </c>
      <c r="B45" s="296"/>
      <c r="C45" s="297">
        <v>0</v>
      </c>
      <c r="D45" s="296"/>
      <c r="E45" s="296">
        <v>0</v>
      </c>
      <c r="F45" s="296"/>
      <c r="G45" s="296">
        <v>0</v>
      </c>
      <c r="H45" s="296"/>
      <c r="I45" s="296">
        <v>0</v>
      </c>
      <c r="J45" s="296"/>
      <c r="K45" s="387">
        <v>3.85</v>
      </c>
      <c r="L45" s="296"/>
    </row>
    <row r="46" spans="1:12" s="382" customFormat="1" ht="13.5">
      <c r="A46" s="385"/>
      <c r="B46" s="296">
        <f>ROUND((A47-A45)/2,3)</f>
        <v>1.655</v>
      </c>
      <c r="C46" s="297"/>
      <c r="D46" s="296">
        <f>(C47+C45)*$B46</f>
        <v>0</v>
      </c>
      <c r="E46" s="296"/>
      <c r="F46" s="296">
        <f>(E47+E45)*$B46</f>
        <v>0</v>
      </c>
      <c r="G46" s="296"/>
      <c r="H46" s="296">
        <f>(G47+G45)*$B46</f>
        <v>0</v>
      </c>
      <c r="I46" s="296"/>
      <c r="J46" s="296">
        <f>(I47+I45)*$B46</f>
        <v>0</v>
      </c>
      <c r="K46" s="387"/>
      <c r="L46" s="296">
        <f>(K47+K45)*$B46</f>
        <v>12.230450000000001</v>
      </c>
    </row>
    <row r="47" spans="1:12" s="382" customFormat="1" ht="13.5">
      <c r="A47" s="385">
        <v>463.31</v>
      </c>
      <c r="B47" s="296"/>
      <c r="C47" s="297">
        <v>0</v>
      </c>
      <c r="D47" s="296"/>
      <c r="E47" s="296">
        <v>0</v>
      </c>
      <c r="F47" s="296"/>
      <c r="G47" s="296">
        <v>0</v>
      </c>
      <c r="H47" s="296"/>
      <c r="I47" s="296">
        <v>0</v>
      </c>
      <c r="J47" s="296"/>
      <c r="K47" s="387">
        <v>3.54</v>
      </c>
      <c r="L47" s="296"/>
    </row>
    <row r="48" spans="1:12" s="382" customFormat="1" ht="13.5">
      <c r="A48" s="385"/>
      <c r="B48" s="296">
        <f>ROUND((A49-A47)/2,3)</f>
        <v>7.11</v>
      </c>
      <c r="C48" s="297"/>
      <c r="D48" s="296">
        <f>(C49+C47)*$B48</f>
        <v>0</v>
      </c>
      <c r="E48" s="296"/>
      <c r="F48" s="296">
        <f>(E49+E47)*$B48</f>
        <v>0</v>
      </c>
      <c r="G48" s="296"/>
      <c r="H48" s="296">
        <f>(G49+G47)*$B48</f>
        <v>0</v>
      </c>
      <c r="I48" s="296"/>
      <c r="J48" s="296">
        <f>(I49+I47)*$B48</f>
        <v>0</v>
      </c>
      <c r="K48" s="387"/>
      <c r="L48" s="296">
        <f>(K49+K47)*$B48</f>
        <v>45.2196</v>
      </c>
    </row>
    <row r="49" spans="1:12" s="382" customFormat="1" ht="13.5">
      <c r="A49" s="385">
        <v>477.53</v>
      </c>
      <c r="B49" s="296"/>
      <c r="C49" s="297">
        <v>0</v>
      </c>
      <c r="D49" s="296"/>
      <c r="E49" s="296">
        <v>0</v>
      </c>
      <c r="F49" s="296"/>
      <c r="G49" s="296">
        <v>0</v>
      </c>
      <c r="H49" s="296"/>
      <c r="I49" s="296">
        <v>0</v>
      </c>
      <c r="J49" s="296"/>
      <c r="K49" s="387">
        <v>2.82</v>
      </c>
      <c r="L49" s="296"/>
    </row>
    <row r="50" spans="1:12" s="382" customFormat="1" ht="13.5">
      <c r="A50" s="385"/>
      <c r="B50" s="296">
        <f>ROUND((A51-A49)/2,3)</f>
        <v>1.235</v>
      </c>
      <c r="C50" s="297"/>
      <c r="D50" s="296">
        <f>(C51+C49)*$B50</f>
        <v>0</v>
      </c>
      <c r="E50" s="296"/>
      <c r="F50" s="296">
        <f>(E51+E49)*$B50</f>
        <v>0</v>
      </c>
      <c r="G50" s="296"/>
      <c r="H50" s="296">
        <f>(G51+G49)*$B50</f>
        <v>0</v>
      </c>
      <c r="I50" s="296"/>
      <c r="J50" s="296">
        <f>(I51+I49)*$B50</f>
        <v>0</v>
      </c>
      <c r="K50" s="387"/>
      <c r="L50" s="296">
        <f>(K51+K49)*$B50</f>
        <v>6.878950000000001</v>
      </c>
    </row>
    <row r="51" spans="1:12" s="382" customFormat="1" ht="13.5">
      <c r="A51" s="385">
        <v>480</v>
      </c>
      <c r="B51" s="296"/>
      <c r="C51" s="297">
        <v>0</v>
      </c>
      <c r="D51" s="296"/>
      <c r="E51" s="296">
        <v>0</v>
      </c>
      <c r="F51" s="296"/>
      <c r="G51" s="296">
        <v>0</v>
      </c>
      <c r="H51" s="296"/>
      <c r="I51" s="296">
        <v>0</v>
      </c>
      <c r="J51" s="296"/>
      <c r="K51" s="387">
        <v>2.75</v>
      </c>
      <c r="L51" s="296"/>
    </row>
    <row r="52" spans="1:12" s="382" customFormat="1" ht="13.5">
      <c r="A52" s="385"/>
      <c r="B52" s="296">
        <f>ROUND((A53-A51)/2,3)</f>
        <v>10</v>
      </c>
      <c r="C52" s="297"/>
      <c r="D52" s="296">
        <f>(C53+C51)*$B52</f>
        <v>0</v>
      </c>
      <c r="E52" s="296"/>
      <c r="F52" s="296">
        <f>(E53+E51)*$B52</f>
        <v>0</v>
      </c>
      <c r="G52" s="296"/>
      <c r="H52" s="296">
        <f>(G53+G51)*$B52</f>
        <v>0</v>
      </c>
      <c r="I52" s="296"/>
      <c r="J52" s="296">
        <f>(I53+I51)*$B52</f>
        <v>0</v>
      </c>
      <c r="K52" s="387"/>
      <c r="L52" s="296">
        <f>(K53+K51)*$B52</f>
        <v>36.1</v>
      </c>
    </row>
    <row r="53" spans="1:12" s="382" customFormat="1" ht="13.5">
      <c r="A53" s="385">
        <v>500</v>
      </c>
      <c r="B53" s="296"/>
      <c r="C53" s="297">
        <v>0</v>
      </c>
      <c r="D53" s="296"/>
      <c r="E53" s="296">
        <v>0</v>
      </c>
      <c r="F53" s="296"/>
      <c r="G53" s="296">
        <v>0</v>
      </c>
      <c r="H53" s="296"/>
      <c r="I53" s="296">
        <v>0</v>
      </c>
      <c r="J53" s="296"/>
      <c r="K53" s="387">
        <v>0.86</v>
      </c>
      <c r="L53" s="296"/>
    </row>
    <row r="54" spans="1:12" s="382" customFormat="1" ht="13.5">
      <c r="A54" s="385"/>
      <c r="B54" s="296">
        <f>ROUND((A55-A53)/2,3)</f>
        <v>10</v>
      </c>
      <c r="C54" s="297"/>
      <c r="D54" s="296">
        <f>(C55+C53)*$B54</f>
        <v>5.1</v>
      </c>
      <c r="E54" s="296"/>
      <c r="F54" s="296">
        <f>(E55+E53)*$B54</f>
        <v>0</v>
      </c>
      <c r="G54" s="296"/>
      <c r="H54" s="296">
        <f>(G55+G53)*$B54</f>
        <v>0</v>
      </c>
      <c r="I54" s="296"/>
      <c r="J54" s="296">
        <f>(I55+I53)*$B54</f>
        <v>5.1</v>
      </c>
      <c r="K54" s="387"/>
      <c r="L54" s="296">
        <f>(K55+K53)*$B54</f>
        <v>15.7</v>
      </c>
    </row>
    <row r="55" spans="1:12" s="382" customFormat="1" ht="13.5">
      <c r="A55" s="385">
        <v>520</v>
      </c>
      <c r="B55" s="296"/>
      <c r="C55" s="297">
        <v>0.51</v>
      </c>
      <c r="D55" s="296"/>
      <c r="E55" s="296">
        <v>0</v>
      </c>
      <c r="F55" s="296"/>
      <c r="G55" s="296">
        <v>0</v>
      </c>
      <c r="H55" s="296"/>
      <c r="I55" s="296">
        <v>0.51</v>
      </c>
      <c r="J55" s="296"/>
      <c r="K55" s="387">
        <v>0.71</v>
      </c>
      <c r="L55" s="296"/>
    </row>
    <row r="56" spans="1:12" s="382" customFormat="1" ht="13.5">
      <c r="A56" s="385"/>
      <c r="B56" s="296">
        <f>ROUND((A57-A55)/2,3)</f>
        <v>10</v>
      </c>
      <c r="C56" s="297"/>
      <c r="D56" s="296">
        <f>(C57+C55)*$B56</f>
        <v>10.700000000000001</v>
      </c>
      <c r="E56" s="296"/>
      <c r="F56" s="296">
        <f>(E57+E55)*$B56</f>
        <v>0</v>
      </c>
      <c r="G56" s="296"/>
      <c r="H56" s="296">
        <f>(G57+G55)*$B56</f>
        <v>0</v>
      </c>
      <c r="I56" s="296"/>
      <c r="J56" s="296">
        <f>(I57+I55)*$B56</f>
        <v>10.700000000000001</v>
      </c>
      <c r="K56" s="387"/>
      <c r="L56" s="296">
        <f>(K57+K55)*$B56</f>
        <v>19.9</v>
      </c>
    </row>
    <row r="57" spans="1:12" s="382" customFormat="1" ht="13.5">
      <c r="A57" s="385">
        <v>540</v>
      </c>
      <c r="B57" s="296"/>
      <c r="C57" s="297">
        <v>0.56</v>
      </c>
      <c r="D57" s="296"/>
      <c r="E57" s="296">
        <v>0</v>
      </c>
      <c r="F57" s="296"/>
      <c r="G57" s="296">
        <v>0</v>
      </c>
      <c r="H57" s="296"/>
      <c r="I57" s="296">
        <v>0.56</v>
      </c>
      <c r="J57" s="296"/>
      <c r="K57" s="387">
        <v>1.28</v>
      </c>
      <c r="L57" s="296"/>
    </row>
    <row r="58" spans="1:19" s="382" customFormat="1" ht="13.5">
      <c r="A58" s="385"/>
      <c r="B58" s="296">
        <f>ROUND((A59-A57)/2,3)</f>
        <v>10</v>
      </c>
      <c r="C58" s="297"/>
      <c r="D58" s="296">
        <f>(C59+C57)*$B58</f>
        <v>6.300000000000001</v>
      </c>
      <c r="E58" s="296"/>
      <c r="F58" s="296">
        <f>(E59+E57)*$B58</f>
        <v>0</v>
      </c>
      <c r="G58" s="296"/>
      <c r="H58" s="296">
        <f>(G59+G57)*$B58</f>
        <v>0.14</v>
      </c>
      <c r="I58" s="296"/>
      <c r="J58" s="296">
        <f>(I59+I57)*$B58</f>
        <v>6.160000000000001</v>
      </c>
      <c r="K58" s="387"/>
      <c r="L58" s="296">
        <f>(K59+K57)*$B58</f>
        <v>32.3</v>
      </c>
      <c r="O58" s="578"/>
      <c r="P58" s="578"/>
      <c r="R58" s="578"/>
      <c r="S58" s="578"/>
    </row>
    <row r="59" spans="1:14" s="382" customFormat="1" ht="13.5">
      <c r="A59" s="385">
        <v>560</v>
      </c>
      <c r="B59" s="296"/>
      <c r="C59" s="297">
        <v>0.07</v>
      </c>
      <c r="D59" s="296"/>
      <c r="E59" s="296">
        <v>0</v>
      </c>
      <c r="F59" s="296"/>
      <c r="G59" s="296">
        <v>0.014000000000000002</v>
      </c>
      <c r="H59" s="296"/>
      <c r="I59" s="296">
        <v>0.05600000000000001</v>
      </c>
      <c r="J59" s="296"/>
      <c r="K59" s="387">
        <v>1.95</v>
      </c>
      <c r="L59" s="296"/>
      <c r="N59" s="299"/>
    </row>
    <row r="60" spans="1:14" s="382" customFormat="1" ht="13.5">
      <c r="A60" s="385"/>
      <c r="B60" s="296">
        <f>ROUND((A61-A59)/2,3)</f>
        <v>10</v>
      </c>
      <c r="C60" s="297"/>
      <c r="D60" s="296">
        <f>(C61+C59)*$B60</f>
        <v>0.7000000000000001</v>
      </c>
      <c r="E60" s="296"/>
      <c r="F60" s="296">
        <f>(E61+E59)*$B60</f>
        <v>0</v>
      </c>
      <c r="G60" s="296"/>
      <c r="H60" s="296">
        <f>(G61+G59)*$B60</f>
        <v>0.14</v>
      </c>
      <c r="I60" s="296"/>
      <c r="J60" s="296">
        <f>(I61+I59)*$B60</f>
        <v>0.56</v>
      </c>
      <c r="K60" s="387"/>
      <c r="L60" s="296">
        <f>(K61+K59)*$B60</f>
        <v>57</v>
      </c>
      <c r="N60" s="299"/>
    </row>
    <row r="61" spans="1:12" s="382" customFormat="1" ht="13.5">
      <c r="A61" s="385">
        <v>580</v>
      </c>
      <c r="B61" s="296"/>
      <c r="C61" s="297">
        <v>0</v>
      </c>
      <c r="D61" s="296"/>
      <c r="E61" s="296">
        <v>0</v>
      </c>
      <c r="F61" s="296"/>
      <c r="G61" s="296">
        <v>0</v>
      </c>
      <c r="H61" s="296"/>
      <c r="I61" s="296">
        <v>0</v>
      </c>
      <c r="J61" s="296"/>
      <c r="K61" s="387">
        <v>3.75</v>
      </c>
      <c r="L61" s="296"/>
    </row>
    <row r="62" spans="1:12" s="382" customFormat="1" ht="13.5">
      <c r="A62" s="385"/>
      <c r="B62" s="296">
        <f>ROUND((A63-A61)/2,3)</f>
        <v>10</v>
      </c>
      <c r="C62" s="297"/>
      <c r="D62" s="296">
        <f>(C63+C61)*$B62</f>
        <v>2.8000000000000003</v>
      </c>
      <c r="E62" s="296"/>
      <c r="F62" s="296">
        <f>(E63+E61)*$B62</f>
        <v>0</v>
      </c>
      <c r="G62" s="296"/>
      <c r="H62" s="296">
        <f>(G63+G61)*$B62</f>
        <v>0.56</v>
      </c>
      <c r="I62" s="296"/>
      <c r="J62" s="296">
        <f>(I63+I61)*$B62</f>
        <v>2.24</v>
      </c>
      <c r="K62" s="387"/>
      <c r="L62" s="296">
        <f>(K63+K61)*$B62</f>
        <v>50.60000000000001</v>
      </c>
    </row>
    <row r="63" spans="1:12" s="382" customFormat="1" ht="13.5">
      <c r="A63" s="385">
        <v>600</v>
      </c>
      <c r="B63" s="296"/>
      <c r="C63" s="297">
        <v>0.28</v>
      </c>
      <c r="D63" s="296"/>
      <c r="E63" s="296">
        <v>0</v>
      </c>
      <c r="F63" s="296"/>
      <c r="G63" s="296">
        <v>0.05600000000000001</v>
      </c>
      <c r="H63" s="296"/>
      <c r="I63" s="296">
        <v>0.22400000000000003</v>
      </c>
      <c r="J63" s="296"/>
      <c r="K63" s="387">
        <v>1.31</v>
      </c>
      <c r="L63" s="296"/>
    </row>
    <row r="64" spans="1:12" s="382" customFormat="1" ht="13.5">
      <c r="A64" s="385"/>
      <c r="B64" s="296">
        <f>ROUND((A65-A63)/2,3)</f>
        <v>3.46</v>
      </c>
      <c r="C64" s="297"/>
      <c r="D64" s="296">
        <f>(C65+C63)*$B64</f>
        <v>2.0414000000000003</v>
      </c>
      <c r="E64" s="296"/>
      <c r="F64" s="296">
        <f>(E65+E63)*$B64</f>
        <v>0</v>
      </c>
      <c r="G64" s="296"/>
      <c r="H64" s="296">
        <f>(G65+G63)*$B64</f>
        <v>0.19376000000000002</v>
      </c>
      <c r="I64" s="296"/>
      <c r="J64" s="296">
        <f>(I65+I63)*$B64</f>
        <v>1.8476400000000002</v>
      </c>
      <c r="K64" s="387"/>
      <c r="L64" s="296">
        <f>(K65+K63)*$B64</f>
        <v>7.6812000000000005</v>
      </c>
    </row>
    <row r="65" spans="1:12" s="382" customFormat="1" ht="13.5">
      <c r="A65" s="385">
        <v>606.92</v>
      </c>
      <c r="B65" s="296"/>
      <c r="C65" s="297">
        <v>0.31</v>
      </c>
      <c r="D65" s="296"/>
      <c r="E65" s="296">
        <v>0</v>
      </c>
      <c r="F65" s="296"/>
      <c r="G65" s="296">
        <v>0</v>
      </c>
      <c r="H65" s="296"/>
      <c r="I65" s="296">
        <v>0.31</v>
      </c>
      <c r="J65" s="296"/>
      <c r="K65" s="387">
        <v>0.91</v>
      </c>
      <c r="L65" s="296"/>
    </row>
    <row r="66" spans="1:12" s="382" customFormat="1" ht="13.5">
      <c r="A66" s="385"/>
      <c r="B66" s="296">
        <f>ROUND((A67-A65)/2,3)</f>
        <v>6.54</v>
      </c>
      <c r="C66" s="297"/>
      <c r="D66" s="296">
        <f>(C67+C65)*$B66</f>
        <v>2.0928</v>
      </c>
      <c r="E66" s="296"/>
      <c r="F66" s="296">
        <f>(E67+E65)*$B66</f>
        <v>0</v>
      </c>
      <c r="G66" s="296"/>
      <c r="H66" s="296">
        <f>(G67+G65)*$B66</f>
        <v>0</v>
      </c>
      <c r="I66" s="296"/>
      <c r="J66" s="296">
        <f>(I67+I65)*$B66</f>
        <v>2.0928</v>
      </c>
      <c r="K66" s="387"/>
      <c r="L66" s="296">
        <f>(K67+K65)*$B66</f>
        <v>16.0884</v>
      </c>
    </row>
    <row r="67" spans="1:12" s="382" customFormat="1" ht="13.5">
      <c r="A67" s="385">
        <v>620</v>
      </c>
      <c r="B67" s="296"/>
      <c r="C67" s="297">
        <v>0.01</v>
      </c>
      <c r="D67" s="296"/>
      <c r="E67" s="296">
        <v>0</v>
      </c>
      <c r="F67" s="296"/>
      <c r="G67" s="296">
        <v>0</v>
      </c>
      <c r="H67" s="296"/>
      <c r="I67" s="296">
        <v>0.01</v>
      </c>
      <c r="J67" s="296"/>
      <c r="K67" s="387">
        <v>1.55</v>
      </c>
      <c r="L67" s="296"/>
    </row>
    <row r="68" spans="1:12" s="382" customFormat="1" ht="13.5">
      <c r="A68" s="385"/>
      <c r="B68" s="296">
        <f>ROUND((A69-A67)/2,3)</f>
        <v>9.975</v>
      </c>
      <c r="C68" s="297"/>
      <c r="D68" s="296">
        <f>(C69+C67)*$B68</f>
        <v>0.09975</v>
      </c>
      <c r="E68" s="296"/>
      <c r="F68" s="296">
        <f>(E69+E67)*$B68</f>
        <v>0</v>
      </c>
      <c r="G68" s="296"/>
      <c r="H68" s="296">
        <f>(G69+G67)*$B68</f>
        <v>0</v>
      </c>
      <c r="I68" s="296"/>
      <c r="J68" s="296">
        <f>(I69+I67)*$B68</f>
        <v>0.09975</v>
      </c>
      <c r="K68" s="387"/>
      <c r="L68" s="296">
        <f>(K69+K67)*$B68</f>
        <v>27.231749999999998</v>
      </c>
    </row>
    <row r="69" spans="1:12" s="382" customFormat="1" ht="13.5">
      <c r="A69" s="385">
        <v>639.95</v>
      </c>
      <c r="B69" s="296"/>
      <c r="C69" s="297">
        <v>0</v>
      </c>
      <c r="D69" s="296"/>
      <c r="E69" s="296">
        <v>0</v>
      </c>
      <c r="F69" s="296"/>
      <c r="G69" s="296">
        <v>0</v>
      </c>
      <c r="H69" s="296"/>
      <c r="I69" s="296">
        <v>0</v>
      </c>
      <c r="J69" s="296"/>
      <c r="K69" s="387">
        <v>1.18</v>
      </c>
      <c r="L69" s="296"/>
    </row>
    <row r="70" spans="1:12" s="382" customFormat="1" ht="13.5">
      <c r="A70" s="385"/>
      <c r="B70" s="296">
        <f>ROUND((A71-A69)/2,3)</f>
        <v>0.025</v>
      </c>
      <c r="C70" s="297"/>
      <c r="D70" s="296">
        <f>(C71+C69)*$B70</f>
        <v>0</v>
      </c>
      <c r="E70" s="296"/>
      <c r="F70" s="296">
        <f>(E71+E69)*$B70</f>
        <v>0</v>
      </c>
      <c r="G70" s="296"/>
      <c r="H70" s="296">
        <f>(G71+G69)*$B70</f>
        <v>0</v>
      </c>
      <c r="I70" s="296"/>
      <c r="J70" s="296">
        <f>(I71+I69)*$B70</f>
        <v>0</v>
      </c>
      <c r="K70" s="387"/>
      <c r="L70" s="296">
        <f>(K71+K69)*$B70</f>
        <v>0.059</v>
      </c>
    </row>
    <row r="71" spans="1:12" s="382" customFormat="1" ht="13.5">
      <c r="A71" s="385">
        <v>640</v>
      </c>
      <c r="B71" s="296"/>
      <c r="C71" s="297">
        <v>0</v>
      </c>
      <c r="D71" s="296"/>
      <c r="E71" s="296">
        <v>0</v>
      </c>
      <c r="F71" s="296"/>
      <c r="G71" s="296">
        <v>0</v>
      </c>
      <c r="H71" s="296"/>
      <c r="I71" s="296">
        <v>0</v>
      </c>
      <c r="J71" s="296"/>
      <c r="K71" s="387">
        <v>1.18</v>
      </c>
      <c r="L71" s="296"/>
    </row>
    <row r="72" spans="1:12" s="382" customFormat="1" ht="13.5">
      <c r="A72" s="385"/>
      <c r="B72" s="296">
        <f>ROUND((A73-A71)/2,3)</f>
        <v>10</v>
      </c>
      <c r="C72" s="297"/>
      <c r="D72" s="296">
        <f>(C73+C71)*$B72</f>
        <v>2.6</v>
      </c>
      <c r="E72" s="296"/>
      <c r="F72" s="296">
        <f>(E73+E71)*$B72</f>
        <v>0</v>
      </c>
      <c r="G72" s="296"/>
      <c r="H72" s="296">
        <f>(G73+G71)*$B72</f>
        <v>0</v>
      </c>
      <c r="I72" s="296"/>
      <c r="J72" s="296">
        <f>(I73+I71)*$B72</f>
        <v>2.6</v>
      </c>
      <c r="K72" s="387"/>
      <c r="L72" s="296">
        <f>(K73+K71)*$B72</f>
        <v>15.999999999999998</v>
      </c>
    </row>
    <row r="73" spans="1:12" s="382" customFormat="1" ht="13.5">
      <c r="A73" s="385">
        <v>660</v>
      </c>
      <c r="B73" s="296"/>
      <c r="C73" s="297">
        <v>0.26</v>
      </c>
      <c r="D73" s="296"/>
      <c r="E73" s="296">
        <v>0</v>
      </c>
      <c r="F73" s="296"/>
      <c r="G73" s="296">
        <v>0</v>
      </c>
      <c r="H73" s="296"/>
      <c r="I73" s="296">
        <v>0.26</v>
      </c>
      <c r="J73" s="296"/>
      <c r="K73" s="387">
        <v>0.42</v>
      </c>
      <c r="L73" s="296"/>
    </row>
    <row r="74" spans="1:12" s="382" customFormat="1" ht="13.5">
      <c r="A74" s="385"/>
      <c r="B74" s="296">
        <f>ROUND((A75-A73)/2,3)</f>
        <v>6.495</v>
      </c>
      <c r="C74" s="297"/>
      <c r="D74" s="296">
        <f>(C75+C73)*$B74</f>
        <v>15.91275</v>
      </c>
      <c r="E74" s="296"/>
      <c r="F74" s="296">
        <f>(E75+E73)*$B74</f>
        <v>4.267214999999999</v>
      </c>
      <c r="G74" s="296"/>
      <c r="H74" s="296">
        <f>(G75+G73)*$B74</f>
        <v>6.4008225</v>
      </c>
      <c r="I74" s="296"/>
      <c r="J74" s="296">
        <f>(I75+I73)*$B74</f>
        <v>5.244712500000001</v>
      </c>
      <c r="K74" s="387"/>
      <c r="L74" s="296">
        <f>(K75+K73)*$B74</f>
        <v>2.8578</v>
      </c>
    </row>
    <row r="75" spans="1:12" s="382" customFormat="1" ht="13.5">
      <c r="A75" s="385">
        <v>672.99</v>
      </c>
      <c r="B75" s="296"/>
      <c r="C75" s="297">
        <v>2.19</v>
      </c>
      <c r="D75" s="296"/>
      <c r="E75" s="296">
        <v>0.6569999999999999</v>
      </c>
      <c r="F75" s="296"/>
      <c r="G75" s="296">
        <v>0.9855</v>
      </c>
      <c r="H75" s="296"/>
      <c r="I75" s="296">
        <v>0.5475000000000001</v>
      </c>
      <c r="J75" s="296"/>
      <c r="K75" s="387">
        <v>0.02</v>
      </c>
      <c r="L75" s="296"/>
    </row>
    <row r="76" spans="1:12" s="382" customFormat="1" ht="13.5">
      <c r="A76" s="385"/>
      <c r="B76" s="296">
        <f>ROUND((A77-A75)/2,3)</f>
        <v>3.505</v>
      </c>
      <c r="C76" s="297"/>
      <c r="D76" s="296">
        <f>(C77+C75)*$B76</f>
        <v>22.2217</v>
      </c>
      <c r="E76" s="296"/>
      <c r="F76" s="296">
        <f>(E77+E75)*$B76</f>
        <v>9.575660000000001</v>
      </c>
      <c r="G76" s="296"/>
      <c r="H76" s="296">
        <f>(G77+G75)*$B76</f>
        <v>7.817902500000001</v>
      </c>
      <c r="I76" s="296"/>
      <c r="J76" s="296">
        <f>(I77+I75)*$B76</f>
        <v>4.8281374999999995</v>
      </c>
      <c r="K76" s="387"/>
      <c r="L76" s="296">
        <f>(K77+K75)*$B76</f>
        <v>0.0701</v>
      </c>
    </row>
    <row r="77" spans="1:12" s="382" customFormat="1" ht="13.5">
      <c r="A77" s="385">
        <v>680</v>
      </c>
      <c r="B77" s="296"/>
      <c r="C77" s="297">
        <v>4.15</v>
      </c>
      <c r="D77" s="296"/>
      <c r="E77" s="296">
        <v>2.075</v>
      </c>
      <c r="F77" s="296"/>
      <c r="G77" s="296">
        <v>1.245</v>
      </c>
      <c r="H77" s="296"/>
      <c r="I77" s="296">
        <v>0.8299999999999998</v>
      </c>
      <c r="J77" s="296"/>
      <c r="K77" s="387">
        <v>0</v>
      </c>
      <c r="L77" s="296"/>
    </row>
    <row r="78" spans="1:12" s="382" customFormat="1" ht="13.5">
      <c r="A78" s="385"/>
      <c r="B78" s="296">
        <f>ROUND((A79-A77)/2,3)</f>
        <v>10</v>
      </c>
      <c r="C78" s="297"/>
      <c r="D78" s="296">
        <f>(C79+C77)*$B78</f>
        <v>127.2</v>
      </c>
      <c r="E78" s="296"/>
      <c r="F78" s="296">
        <f>(E79+E77)*$B78</f>
        <v>85.025</v>
      </c>
      <c r="G78" s="296"/>
      <c r="H78" s="296">
        <f>(G79+G77)*$B78</f>
        <v>33.875</v>
      </c>
      <c r="I78" s="296"/>
      <c r="J78" s="296">
        <f>(I79+I77)*$B78</f>
        <v>8.299999999999999</v>
      </c>
      <c r="K78" s="387"/>
      <c r="L78" s="296">
        <f>(K79+K77)*$B78</f>
        <v>0</v>
      </c>
    </row>
    <row r="79" spans="1:12" s="382" customFormat="1" ht="13.5">
      <c r="A79" s="385">
        <v>700</v>
      </c>
      <c r="B79" s="296"/>
      <c r="C79" s="297">
        <v>8.57</v>
      </c>
      <c r="D79" s="296"/>
      <c r="E79" s="296">
        <v>6.4275</v>
      </c>
      <c r="F79" s="296"/>
      <c r="G79" s="296">
        <v>2.1425</v>
      </c>
      <c r="H79" s="296"/>
      <c r="I79" s="296">
        <v>0</v>
      </c>
      <c r="J79" s="296"/>
      <c r="K79" s="387">
        <v>0</v>
      </c>
      <c r="L79" s="296"/>
    </row>
    <row r="80" spans="1:12" s="382" customFormat="1" ht="13.5">
      <c r="A80" s="385"/>
      <c r="B80" s="296">
        <f>ROUND((A81-A79)/2,3)</f>
        <v>2.51</v>
      </c>
      <c r="C80" s="297"/>
      <c r="D80" s="296">
        <f>(C81+C79)*$B80</f>
        <v>44.42700000000001</v>
      </c>
      <c r="E80" s="296"/>
      <c r="F80" s="296">
        <f>(E81+E79)*$B80</f>
        <v>34.466065</v>
      </c>
      <c r="G80" s="296"/>
      <c r="H80" s="296">
        <f>(G81+G79)*$B80</f>
        <v>8.81512</v>
      </c>
      <c r="I80" s="296"/>
      <c r="J80" s="296">
        <f>(I81+I79)*$B80</f>
        <v>1.1458149999999985</v>
      </c>
      <c r="K80" s="387"/>
      <c r="L80" s="296">
        <f>(K81+K79)*$B80</f>
        <v>0</v>
      </c>
    </row>
    <row r="81" spans="1:12" s="382" customFormat="1" ht="13.5">
      <c r="A81" s="385">
        <v>705.02</v>
      </c>
      <c r="B81" s="296"/>
      <c r="C81" s="297">
        <v>9.13</v>
      </c>
      <c r="D81" s="296"/>
      <c r="E81" s="296">
        <v>7.304000000000001</v>
      </c>
      <c r="F81" s="296"/>
      <c r="G81" s="296">
        <v>1.3695000000000002</v>
      </c>
      <c r="H81" s="296"/>
      <c r="I81" s="296">
        <v>0.4564999999999994</v>
      </c>
      <c r="J81" s="296"/>
      <c r="K81" s="387">
        <v>0</v>
      </c>
      <c r="L81" s="296"/>
    </row>
    <row r="82" spans="1:12" s="382" customFormat="1" ht="13.5">
      <c r="A82" s="385"/>
      <c r="B82" s="296">
        <f>ROUND((A83-A81)/2,3)</f>
        <v>7.49</v>
      </c>
      <c r="C82" s="297"/>
      <c r="D82" s="296">
        <f>(C83+C81)*$B82</f>
        <v>137.36660000000003</v>
      </c>
      <c r="E82" s="296"/>
      <c r="F82" s="296">
        <f>(E83+E81)*$B82</f>
        <v>106.444135</v>
      </c>
      <c r="G82" s="296"/>
      <c r="H82" s="296">
        <f>(G83+G81)*$B82</f>
        <v>27.503280000000004</v>
      </c>
      <c r="I82" s="296"/>
      <c r="J82" s="296">
        <f>(I83+I81)*$B82</f>
        <v>3.4191849999999957</v>
      </c>
      <c r="K82" s="387"/>
      <c r="L82" s="296">
        <f>(K83+K81)*$B82</f>
        <v>0</v>
      </c>
    </row>
    <row r="83" spans="1:12" s="382" customFormat="1" ht="13.5">
      <c r="A83" s="385">
        <v>720</v>
      </c>
      <c r="B83" s="296"/>
      <c r="C83" s="297">
        <v>9.21</v>
      </c>
      <c r="D83" s="296"/>
      <c r="E83" s="296">
        <v>6.907500000000001</v>
      </c>
      <c r="F83" s="296"/>
      <c r="G83" s="296">
        <v>2.3025</v>
      </c>
      <c r="H83" s="296"/>
      <c r="I83" s="296">
        <v>0</v>
      </c>
      <c r="J83" s="296"/>
      <c r="K83" s="387">
        <v>0</v>
      </c>
      <c r="L83" s="296"/>
    </row>
    <row r="84" spans="1:12" s="382" customFormat="1" ht="13.5">
      <c r="A84" s="385"/>
      <c r="B84" s="296">
        <f>ROUND((A85-A83)/2,3)</f>
        <v>10</v>
      </c>
      <c r="C84" s="297"/>
      <c r="D84" s="296">
        <f>(C85+C83)*$B84</f>
        <v>144.4</v>
      </c>
      <c r="E84" s="296"/>
      <c r="F84" s="296">
        <f>(E85+E83)*$B84</f>
        <v>95.22500000000001</v>
      </c>
      <c r="G84" s="296"/>
      <c r="H84" s="296">
        <f>(G85+G83)*$B84</f>
        <v>38.715</v>
      </c>
      <c r="I84" s="296"/>
      <c r="J84" s="296">
        <f>(I85+I83)*$B84</f>
        <v>10.459999999999997</v>
      </c>
      <c r="K84" s="387"/>
      <c r="L84" s="296">
        <f>(K85+K83)*$B84</f>
        <v>0</v>
      </c>
    </row>
    <row r="85" spans="1:12" s="382" customFormat="1" ht="13.5">
      <c r="A85" s="385">
        <v>740</v>
      </c>
      <c r="B85" s="296"/>
      <c r="C85" s="297">
        <v>5.23</v>
      </c>
      <c r="D85" s="296"/>
      <c r="E85" s="296">
        <v>2.615</v>
      </c>
      <c r="F85" s="296"/>
      <c r="G85" s="296">
        <v>1.5690000000000002</v>
      </c>
      <c r="H85" s="296"/>
      <c r="I85" s="296">
        <v>1.0459999999999998</v>
      </c>
      <c r="J85" s="296"/>
      <c r="K85" s="387">
        <v>0</v>
      </c>
      <c r="L85" s="296"/>
    </row>
    <row r="86" spans="1:12" s="382" customFormat="1" ht="13.5">
      <c r="A86" s="385"/>
      <c r="B86" s="296">
        <f>ROUND((A87-A85)/2,3)</f>
        <v>5.705</v>
      </c>
      <c r="C86" s="297"/>
      <c r="D86" s="296">
        <f>(C87+C85)*$B86</f>
        <v>36.055600000000005</v>
      </c>
      <c r="E86" s="296"/>
      <c r="F86" s="296">
        <f>(E87+E85)*$B86</f>
        <v>16.784110000000002</v>
      </c>
      <c r="G86" s="296"/>
      <c r="H86" s="296">
        <f>(G87+G85)*$B86</f>
        <v>11.749447500000002</v>
      </c>
      <c r="I86" s="296"/>
      <c r="J86" s="296">
        <f>(I87+I85)*$B86</f>
        <v>7.522042499999999</v>
      </c>
      <c r="K86" s="387"/>
      <c r="L86" s="296">
        <f>(K87+K85)*$B86</f>
        <v>0.057050000000000003</v>
      </c>
    </row>
    <row r="87" spans="1:12" s="382" customFormat="1" ht="13.5">
      <c r="A87" s="385">
        <v>751.41</v>
      </c>
      <c r="B87" s="296"/>
      <c r="C87" s="297">
        <v>1.09</v>
      </c>
      <c r="D87" s="296"/>
      <c r="E87" s="296">
        <v>0.327</v>
      </c>
      <c r="F87" s="296"/>
      <c r="G87" s="296">
        <v>0.49050000000000005</v>
      </c>
      <c r="H87" s="296"/>
      <c r="I87" s="296">
        <v>0.2725000000000001</v>
      </c>
      <c r="J87" s="296"/>
      <c r="K87" s="387">
        <v>0.01</v>
      </c>
      <c r="L87" s="296"/>
    </row>
    <row r="88" spans="1:12" s="382" customFormat="1" ht="13.5">
      <c r="A88" s="385"/>
      <c r="B88" s="296">
        <f>ROUND((A89-A87)/2,3)</f>
        <v>4.295</v>
      </c>
      <c r="C88" s="297"/>
      <c r="D88" s="296">
        <f>(C89+C87)*$B88</f>
        <v>4.6815500000000005</v>
      </c>
      <c r="E88" s="296"/>
      <c r="F88" s="296">
        <f>(E89+E87)*$B88</f>
        <v>1.404465</v>
      </c>
      <c r="G88" s="296"/>
      <c r="H88" s="296">
        <f>(G89+G87)*$B88</f>
        <v>2.1066975</v>
      </c>
      <c r="I88" s="296"/>
      <c r="J88" s="296">
        <f>(I89+I87)*$B88</f>
        <v>1.1703875000000004</v>
      </c>
      <c r="K88" s="387"/>
      <c r="L88" s="296">
        <f>(K89+K87)*$B88</f>
        <v>4.1232</v>
      </c>
    </row>
    <row r="89" spans="1:12" s="382" customFormat="1" ht="13.5">
      <c r="A89" s="385">
        <v>760</v>
      </c>
      <c r="B89" s="296"/>
      <c r="C89" s="297">
        <v>0</v>
      </c>
      <c r="D89" s="296"/>
      <c r="E89" s="296">
        <v>0</v>
      </c>
      <c r="F89" s="296"/>
      <c r="G89" s="296">
        <v>0</v>
      </c>
      <c r="H89" s="296"/>
      <c r="I89" s="296">
        <v>0</v>
      </c>
      <c r="J89" s="296"/>
      <c r="K89" s="387">
        <v>0.95</v>
      </c>
      <c r="L89" s="296"/>
    </row>
    <row r="90" spans="1:19" s="382" customFormat="1" ht="13.5">
      <c r="A90" s="385"/>
      <c r="B90" s="296">
        <f>ROUND((A91-A89)/2,3)</f>
        <v>10</v>
      </c>
      <c r="C90" s="297"/>
      <c r="D90" s="296">
        <f>(C91+C89)*$B90</f>
        <v>2</v>
      </c>
      <c r="E90" s="296"/>
      <c r="F90" s="296">
        <f>(E91+E89)*$B90</f>
        <v>0</v>
      </c>
      <c r="G90" s="296"/>
      <c r="H90" s="296">
        <f>(G91+G89)*$B90</f>
        <v>0</v>
      </c>
      <c r="I90" s="296"/>
      <c r="J90" s="296">
        <f>(I91+I89)*$B90</f>
        <v>2</v>
      </c>
      <c r="K90" s="387"/>
      <c r="L90" s="296">
        <f>(K91+K89)*$B90</f>
        <v>10.4</v>
      </c>
      <c r="O90" s="578"/>
      <c r="P90" s="578"/>
      <c r="R90" s="578"/>
      <c r="S90" s="578"/>
    </row>
    <row r="91" spans="1:14" s="382" customFormat="1" ht="13.5">
      <c r="A91" s="385">
        <v>780</v>
      </c>
      <c r="B91" s="296"/>
      <c r="C91" s="297">
        <v>0.2</v>
      </c>
      <c r="D91" s="296"/>
      <c r="E91" s="296">
        <v>0</v>
      </c>
      <c r="F91" s="296"/>
      <c r="G91" s="296">
        <v>0</v>
      </c>
      <c r="H91" s="296"/>
      <c r="I91" s="296">
        <v>0.2</v>
      </c>
      <c r="J91" s="296"/>
      <c r="K91" s="387">
        <v>0.09</v>
      </c>
      <c r="L91" s="296"/>
      <c r="N91" s="299"/>
    </row>
    <row r="92" spans="1:14" s="382" customFormat="1" ht="13.5">
      <c r="A92" s="385"/>
      <c r="B92" s="296">
        <f>ROUND((A93-A91)/2,3)</f>
        <v>8.9</v>
      </c>
      <c r="C92" s="297"/>
      <c r="D92" s="296">
        <f>(C93+C91)*$B92</f>
        <v>3.6490000000000005</v>
      </c>
      <c r="E92" s="296"/>
      <c r="F92" s="296">
        <f>(E93+E91)*$B92</f>
        <v>0</v>
      </c>
      <c r="G92" s="296"/>
      <c r="H92" s="296">
        <f>(G93+G91)*$B92</f>
        <v>0</v>
      </c>
      <c r="I92" s="296"/>
      <c r="J92" s="296">
        <f>(I93+I91)*$B92</f>
        <v>3.6490000000000005</v>
      </c>
      <c r="K92" s="387"/>
      <c r="L92" s="296">
        <f>(K93+K91)*$B92</f>
        <v>2.67</v>
      </c>
      <c r="N92" s="299"/>
    </row>
    <row r="93" spans="1:12" s="382" customFormat="1" ht="13.5">
      <c r="A93" s="385">
        <v>797.8</v>
      </c>
      <c r="B93" s="296"/>
      <c r="C93" s="297">
        <v>0.21</v>
      </c>
      <c r="D93" s="296"/>
      <c r="E93" s="296">
        <v>0</v>
      </c>
      <c r="F93" s="296"/>
      <c r="G93" s="296">
        <v>0</v>
      </c>
      <c r="H93" s="296"/>
      <c r="I93" s="296">
        <v>0.21</v>
      </c>
      <c r="J93" s="296"/>
      <c r="K93" s="387">
        <v>0.21</v>
      </c>
      <c r="L93" s="296"/>
    </row>
    <row r="94" spans="1:12" s="382" customFormat="1" ht="13.5">
      <c r="A94" s="385"/>
      <c r="B94" s="296">
        <f>ROUND((A95-A93)/2,3)</f>
        <v>1.1</v>
      </c>
      <c r="C94" s="297"/>
      <c r="D94" s="296">
        <f>(C95+C93)*$B94</f>
        <v>0.45100000000000007</v>
      </c>
      <c r="E94" s="296"/>
      <c r="F94" s="296">
        <f>(E95+E93)*$B94</f>
        <v>0</v>
      </c>
      <c r="G94" s="296"/>
      <c r="H94" s="296">
        <f>(G95+G93)*$B94</f>
        <v>0</v>
      </c>
      <c r="I94" s="296"/>
      <c r="J94" s="296">
        <f>(I95+I93)*$B94</f>
        <v>0.45100000000000007</v>
      </c>
      <c r="K94" s="387"/>
      <c r="L94" s="296">
        <f>(K95+K93)*$B94</f>
        <v>0.55</v>
      </c>
    </row>
    <row r="95" spans="1:12" s="382" customFormat="1" ht="13.5">
      <c r="A95" s="385">
        <v>800</v>
      </c>
      <c r="B95" s="296"/>
      <c r="C95" s="297">
        <v>0.2</v>
      </c>
      <c r="D95" s="296"/>
      <c r="E95" s="296">
        <v>0</v>
      </c>
      <c r="F95" s="296"/>
      <c r="G95" s="296">
        <v>0</v>
      </c>
      <c r="H95" s="296"/>
      <c r="I95" s="296">
        <v>0.2</v>
      </c>
      <c r="J95" s="296"/>
      <c r="K95" s="387">
        <v>0.29</v>
      </c>
      <c r="L95" s="296"/>
    </row>
    <row r="96" spans="1:12" s="382" customFormat="1" ht="13.5">
      <c r="A96" s="385"/>
      <c r="B96" s="296">
        <f>ROUND((A97-A95)/2,3)</f>
        <v>10</v>
      </c>
      <c r="C96" s="297"/>
      <c r="D96" s="296">
        <f>(C97+C95)*$B96</f>
        <v>2</v>
      </c>
      <c r="E96" s="296"/>
      <c r="F96" s="296">
        <f>(E97+E95)*$B96</f>
        <v>0</v>
      </c>
      <c r="G96" s="296"/>
      <c r="H96" s="296">
        <f>(G97+G95)*$B96</f>
        <v>0</v>
      </c>
      <c r="I96" s="296"/>
      <c r="J96" s="296">
        <f>(I97+I95)*$B96</f>
        <v>2</v>
      </c>
      <c r="K96" s="387"/>
      <c r="L96" s="296">
        <f>(K97+K95)*$B96</f>
        <v>17.7</v>
      </c>
    </row>
    <row r="97" spans="1:12" s="382" customFormat="1" ht="13.5">
      <c r="A97" s="385">
        <v>820</v>
      </c>
      <c r="B97" s="296"/>
      <c r="C97" s="297">
        <v>0</v>
      </c>
      <c r="D97" s="296"/>
      <c r="E97" s="296">
        <v>0</v>
      </c>
      <c r="F97" s="296"/>
      <c r="G97" s="296">
        <v>0</v>
      </c>
      <c r="H97" s="296"/>
      <c r="I97" s="296">
        <v>0</v>
      </c>
      <c r="J97" s="296"/>
      <c r="K97" s="387">
        <v>1.48</v>
      </c>
      <c r="L97" s="296"/>
    </row>
    <row r="98" spans="1:12" s="382" customFormat="1" ht="13.5">
      <c r="A98" s="385"/>
      <c r="B98" s="296">
        <f>ROUND((A99-A97)/2,3)</f>
        <v>10</v>
      </c>
      <c r="C98" s="297"/>
      <c r="D98" s="296">
        <f>(C99+C97)*$B98</f>
        <v>0.8999999999999999</v>
      </c>
      <c r="E98" s="296"/>
      <c r="F98" s="296">
        <f>(E99+E97)*$B98</f>
        <v>0</v>
      </c>
      <c r="G98" s="296"/>
      <c r="H98" s="296">
        <f>(G99+G97)*$B98</f>
        <v>0.135</v>
      </c>
      <c r="I98" s="296"/>
      <c r="J98" s="296">
        <f>(I99+I97)*$B98</f>
        <v>0.765</v>
      </c>
      <c r="K98" s="387"/>
      <c r="L98" s="296">
        <f>(K99+K97)*$B98</f>
        <v>23.5</v>
      </c>
    </row>
    <row r="99" spans="1:12" s="382" customFormat="1" ht="13.5">
      <c r="A99" s="385">
        <v>840</v>
      </c>
      <c r="B99" s="296"/>
      <c r="C99" s="297">
        <v>0.09</v>
      </c>
      <c r="D99" s="296"/>
      <c r="E99" s="296">
        <v>0</v>
      </c>
      <c r="F99" s="296"/>
      <c r="G99" s="296">
        <v>0.0135</v>
      </c>
      <c r="H99" s="296"/>
      <c r="I99" s="296">
        <v>0.0765</v>
      </c>
      <c r="J99" s="296"/>
      <c r="K99" s="387">
        <v>0.87</v>
      </c>
      <c r="L99" s="296"/>
    </row>
    <row r="100" spans="1:12" s="382" customFormat="1" ht="13.5">
      <c r="A100" s="385"/>
      <c r="B100" s="296">
        <f>ROUND((A101-A99)/2,3)</f>
        <v>0.905</v>
      </c>
      <c r="C100" s="297"/>
      <c r="D100" s="296">
        <f>(C101+C99)*$B100</f>
        <v>0.18100000000000002</v>
      </c>
      <c r="E100" s="296"/>
      <c r="F100" s="296">
        <f>(E101+E99)*$B100</f>
        <v>0</v>
      </c>
      <c r="G100" s="296"/>
      <c r="H100" s="296">
        <f>(G101+G99)*$B100</f>
        <v>0.037105000000000006</v>
      </c>
      <c r="I100" s="296"/>
      <c r="J100" s="296">
        <f>(I101+I99)*$B100</f>
        <v>0.143895</v>
      </c>
      <c r="K100" s="387"/>
      <c r="L100" s="296">
        <f>(K101+K99)*$B100</f>
        <v>1.5204000000000002</v>
      </c>
    </row>
    <row r="101" spans="1:12" s="382" customFormat="1" ht="13.5">
      <c r="A101" s="385">
        <v>841.81</v>
      </c>
      <c r="B101" s="296"/>
      <c r="C101" s="297">
        <v>0.11</v>
      </c>
      <c r="D101" s="296"/>
      <c r="E101" s="296">
        <v>0</v>
      </c>
      <c r="F101" s="296"/>
      <c r="G101" s="296">
        <v>0.0275</v>
      </c>
      <c r="H101" s="296"/>
      <c r="I101" s="296">
        <v>0.0825</v>
      </c>
      <c r="J101" s="296"/>
      <c r="K101" s="387">
        <v>0.81</v>
      </c>
      <c r="L101" s="296"/>
    </row>
    <row r="102" spans="1:12" s="382" customFormat="1" ht="13.5">
      <c r="A102" s="385"/>
      <c r="B102" s="296">
        <f>ROUND((A103-A101)/2,3)</f>
        <v>4.92</v>
      </c>
      <c r="C102" s="297"/>
      <c r="D102" s="296">
        <f>(C103+C101)*$B102</f>
        <v>1.722</v>
      </c>
      <c r="E102" s="296"/>
      <c r="F102" s="296">
        <f>(E103+E101)*$B102</f>
        <v>0</v>
      </c>
      <c r="G102" s="296"/>
      <c r="H102" s="296">
        <f>(G103+G101)*$B102</f>
        <v>0.48954</v>
      </c>
      <c r="I102" s="296"/>
      <c r="J102" s="296">
        <f>(I103+I101)*$B102</f>
        <v>1.2324599999999999</v>
      </c>
      <c r="K102" s="387"/>
      <c r="L102" s="296">
        <f>(K103+K101)*$B102</f>
        <v>4.083600000000001</v>
      </c>
    </row>
    <row r="103" spans="1:12" s="382" customFormat="1" ht="13.5">
      <c r="A103" s="385">
        <v>851.65</v>
      </c>
      <c r="B103" s="296"/>
      <c r="C103" s="297">
        <v>0.24</v>
      </c>
      <c r="D103" s="296"/>
      <c r="E103" s="296">
        <v>0</v>
      </c>
      <c r="F103" s="296"/>
      <c r="G103" s="296">
        <v>0.072</v>
      </c>
      <c r="H103" s="296"/>
      <c r="I103" s="296">
        <v>0.16799999999999998</v>
      </c>
      <c r="J103" s="296"/>
      <c r="K103" s="387">
        <v>0.02</v>
      </c>
      <c r="L103" s="296"/>
    </row>
    <row r="104" spans="1:12" s="382" customFormat="1" ht="13.5">
      <c r="A104" s="385"/>
      <c r="B104" s="296">
        <f>ROUND((A105-A103)/2,3)</f>
        <v>4.175</v>
      </c>
      <c r="C104" s="297"/>
      <c r="D104" s="296">
        <f>(C105+C103)*$B104</f>
        <v>7.097499999999999</v>
      </c>
      <c r="E104" s="296"/>
      <c r="F104" s="296">
        <f>(E105+E103)*$B104</f>
        <v>0</v>
      </c>
      <c r="G104" s="296"/>
      <c r="H104" s="296">
        <f>(G105+G103)*$B104</f>
        <v>1.8244749999999998</v>
      </c>
      <c r="I104" s="296"/>
      <c r="J104" s="296">
        <f>(I105+I103)*$B104</f>
        <v>5.273025</v>
      </c>
      <c r="K104" s="387"/>
      <c r="L104" s="296">
        <f>(K105+K103)*$B104</f>
        <v>0.0835</v>
      </c>
    </row>
    <row r="105" spans="1:12" s="382" customFormat="1" ht="13.5">
      <c r="A105" s="385">
        <v>860</v>
      </c>
      <c r="B105" s="296"/>
      <c r="C105" s="297">
        <v>1.46</v>
      </c>
      <c r="D105" s="296"/>
      <c r="E105" s="296">
        <v>0</v>
      </c>
      <c r="F105" s="296"/>
      <c r="G105" s="296">
        <v>0.365</v>
      </c>
      <c r="H105" s="296"/>
      <c r="I105" s="296">
        <v>1.095</v>
      </c>
      <c r="J105" s="296"/>
      <c r="K105" s="387">
        <v>0</v>
      </c>
      <c r="L105" s="296"/>
    </row>
    <row r="106" spans="1:12" s="382" customFormat="1" ht="13.5">
      <c r="A106" s="385"/>
      <c r="B106" s="296">
        <f>ROUND((A107-A105)/2,3)</f>
        <v>0.74</v>
      </c>
      <c r="C106" s="297"/>
      <c r="D106" s="296">
        <f>(C107+C105)*$B106</f>
        <v>1.9165999999999999</v>
      </c>
      <c r="E106" s="296"/>
      <c r="F106" s="296">
        <f>(E107+E105)*$B106</f>
        <v>0</v>
      </c>
      <c r="G106" s="296"/>
      <c r="H106" s="296">
        <f>(G107+G105)*$B106</f>
        <v>0.39553</v>
      </c>
      <c r="I106" s="296"/>
      <c r="J106" s="296">
        <f>(I107+I105)*$B106</f>
        <v>1.52107</v>
      </c>
      <c r="K106" s="387"/>
      <c r="L106" s="296">
        <f>(K107+K105)*$B106</f>
        <v>0</v>
      </c>
    </row>
    <row r="107" spans="1:12" s="382" customFormat="1" ht="13.5">
      <c r="A107" s="385">
        <v>861.48</v>
      </c>
      <c r="B107" s="296"/>
      <c r="C107" s="297">
        <v>1.13</v>
      </c>
      <c r="D107" s="296"/>
      <c r="E107" s="296">
        <v>0</v>
      </c>
      <c r="F107" s="296"/>
      <c r="G107" s="296">
        <v>0.16949999999999998</v>
      </c>
      <c r="H107" s="296"/>
      <c r="I107" s="296">
        <v>0.9604999999999999</v>
      </c>
      <c r="J107" s="296"/>
      <c r="K107" s="387">
        <v>0</v>
      </c>
      <c r="L107" s="296"/>
    </row>
    <row r="108" spans="1:12" s="382" customFormat="1" ht="13.5">
      <c r="A108" s="385"/>
      <c r="B108" s="296">
        <f>ROUND((A109-A107)/2,3)</f>
        <v>9.26</v>
      </c>
      <c r="C108" s="297"/>
      <c r="D108" s="296">
        <f>(C109+C107)*$B108</f>
        <v>10.649</v>
      </c>
      <c r="E108" s="296"/>
      <c r="F108" s="296">
        <f>(E109+E107)*$B108</f>
        <v>0</v>
      </c>
      <c r="G108" s="296"/>
      <c r="H108" s="296">
        <f>(G109+G107)*$B108</f>
        <v>1.56957</v>
      </c>
      <c r="I108" s="296"/>
      <c r="J108" s="296">
        <f>(I109+I107)*$B108</f>
        <v>9.079429999999999</v>
      </c>
      <c r="K108" s="387"/>
      <c r="L108" s="296">
        <f>(K109+K107)*$B108</f>
        <v>9.9082</v>
      </c>
    </row>
    <row r="109" spans="1:12" s="382" customFormat="1" ht="13.5">
      <c r="A109" s="385">
        <v>880</v>
      </c>
      <c r="B109" s="296"/>
      <c r="C109" s="297">
        <v>0.02</v>
      </c>
      <c r="D109" s="296"/>
      <c r="E109" s="296">
        <v>0</v>
      </c>
      <c r="F109" s="296"/>
      <c r="G109" s="296">
        <v>0</v>
      </c>
      <c r="H109" s="296"/>
      <c r="I109" s="296">
        <v>0.02</v>
      </c>
      <c r="J109" s="296"/>
      <c r="K109" s="387">
        <v>1.07</v>
      </c>
      <c r="L109" s="296"/>
    </row>
    <row r="110" spans="1:12" s="382" customFormat="1" ht="13.5">
      <c r="A110" s="385"/>
      <c r="B110" s="296">
        <f>ROUND((A111-A109)/2,3)</f>
        <v>10</v>
      </c>
      <c r="C110" s="297"/>
      <c r="D110" s="296">
        <f>(C111+C109)*$B110</f>
        <v>0.2</v>
      </c>
      <c r="E110" s="296"/>
      <c r="F110" s="296">
        <f>(E111+E109)*$B110</f>
        <v>0</v>
      </c>
      <c r="G110" s="296"/>
      <c r="H110" s="296">
        <f>(G111+G109)*$B110</f>
        <v>0</v>
      </c>
      <c r="I110" s="296"/>
      <c r="J110" s="296">
        <f>(I111+I109)*$B110</f>
        <v>0.2</v>
      </c>
      <c r="K110" s="387"/>
      <c r="L110" s="296">
        <f>(K111+K109)*$B110</f>
        <v>56.00000000000001</v>
      </c>
    </row>
    <row r="111" spans="1:12" s="382" customFormat="1" ht="13.5">
      <c r="A111" s="385">
        <v>900</v>
      </c>
      <c r="B111" s="296"/>
      <c r="C111" s="297">
        <v>0</v>
      </c>
      <c r="D111" s="296"/>
      <c r="E111" s="296">
        <v>0</v>
      </c>
      <c r="F111" s="296"/>
      <c r="G111" s="296">
        <v>0</v>
      </c>
      <c r="H111" s="296"/>
      <c r="I111" s="296">
        <v>0</v>
      </c>
      <c r="J111" s="296"/>
      <c r="K111" s="387">
        <v>4.53</v>
      </c>
      <c r="L111" s="296"/>
    </row>
    <row r="112" spans="1:19" s="382" customFormat="1" ht="13.5">
      <c r="A112" s="385"/>
      <c r="B112" s="296">
        <f>ROUND((A113-A111)/2,3)</f>
        <v>10</v>
      </c>
      <c r="C112" s="297"/>
      <c r="D112" s="296">
        <f>(C113+C111)*$B112</f>
        <v>3</v>
      </c>
      <c r="E112" s="296"/>
      <c r="F112" s="296">
        <f>(E113+E111)*$B112</f>
        <v>0</v>
      </c>
      <c r="G112" s="296"/>
      <c r="H112" s="296">
        <f>(G113+G111)*$B112</f>
        <v>0</v>
      </c>
      <c r="I112" s="296"/>
      <c r="J112" s="296">
        <f>(I113+I111)*$B112</f>
        <v>3</v>
      </c>
      <c r="K112" s="387"/>
      <c r="L112" s="296">
        <f>(K113+K111)*$B112</f>
        <v>65.5</v>
      </c>
      <c r="O112" s="578"/>
      <c r="P112" s="578"/>
      <c r="R112" s="578"/>
      <c r="S112" s="578"/>
    </row>
    <row r="113" spans="1:14" s="382" customFormat="1" ht="13.5">
      <c r="A113" s="385">
        <v>920</v>
      </c>
      <c r="B113" s="296"/>
      <c r="C113" s="297">
        <v>0.3</v>
      </c>
      <c r="D113" s="296"/>
      <c r="E113" s="296">
        <v>0</v>
      </c>
      <c r="F113" s="296"/>
      <c r="G113" s="296">
        <v>0</v>
      </c>
      <c r="H113" s="296"/>
      <c r="I113" s="296">
        <v>0.3</v>
      </c>
      <c r="J113" s="296"/>
      <c r="K113" s="387">
        <v>2.02</v>
      </c>
      <c r="L113" s="296"/>
      <c r="N113" s="299"/>
    </row>
    <row r="114" spans="1:14" s="382" customFormat="1" ht="13.5">
      <c r="A114" s="385"/>
      <c r="B114" s="296">
        <f>ROUND((A115-A113)/2,3)</f>
        <v>4.19</v>
      </c>
      <c r="C114" s="297"/>
      <c r="D114" s="296">
        <f>(C115+C113)*$B114</f>
        <v>6.662100000000001</v>
      </c>
      <c r="E114" s="296"/>
      <c r="F114" s="296">
        <f>(E115+E113)*$B114</f>
        <v>0</v>
      </c>
      <c r="G114" s="296"/>
      <c r="H114" s="296">
        <f>(G115+G113)*$B114</f>
        <v>0</v>
      </c>
      <c r="I114" s="296"/>
      <c r="J114" s="296">
        <f>(I115+I113)*$B114</f>
        <v>6.662100000000001</v>
      </c>
      <c r="K114" s="387"/>
      <c r="L114" s="296">
        <f>(K115+K113)*$B114</f>
        <v>13.701300000000002</v>
      </c>
      <c r="N114" s="299"/>
    </row>
    <row r="115" spans="1:12" s="382" customFormat="1" ht="13.5">
      <c r="A115" s="385">
        <v>928.38</v>
      </c>
      <c r="B115" s="296"/>
      <c r="C115" s="297">
        <v>1.29</v>
      </c>
      <c r="D115" s="296"/>
      <c r="E115" s="296">
        <v>0</v>
      </c>
      <c r="F115" s="296"/>
      <c r="G115" s="296">
        <v>0</v>
      </c>
      <c r="H115" s="296"/>
      <c r="I115" s="296">
        <v>1.29</v>
      </c>
      <c r="J115" s="296"/>
      <c r="K115" s="387">
        <v>1.25</v>
      </c>
      <c r="L115" s="296"/>
    </row>
    <row r="116" spans="1:12" s="382" customFormat="1" ht="13.5">
      <c r="A116" s="385"/>
      <c r="B116" s="296">
        <f>ROUND((A117-A115)/2,3)</f>
        <v>5.81</v>
      </c>
      <c r="C116" s="297"/>
      <c r="D116" s="296">
        <f>(C117+C115)*$B116</f>
        <v>17.197599999999998</v>
      </c>
      <c r="E116" s="296"/>
      <c r="F116" s="296">
        <f>(E117+E115)*$B116</f>
        <v>0</v>
      </c>
      <c r="G116" s="296"/>
      <c r="H116" s="296">
        <f>(G117+G115)*$B116</f>
        <v>0.97027</v>
      </c>
      <c r="I116" s="296"/>
      <c r="J116" s="296">
        <f>(I117+I115)*$B116</f>
        <v>16.22733</v>
      </c>
      <c r="K116" s="387"/>
      <c r="L116" s="296">
        <f>(K117+K115)*$B116</f>
        <v>14.0021</v>
      </c>
    </row>
    <row r="117" spans="1:12" s="382" customFormat="1" ht="13.5">
      <c r="A117" s="385">
        <v>940</v>
      </c>
      <c r="B117" s="296"/>
      <c r="C117" s="297">
        <v>1.67</v>
      </c>
      <c r="D117" s="296"/>
      <c r="E117" s="296">
        <v>0</v>
      </c>
      <c r="F117" s="296"/>
      <c r="G117" s="296">
        <v>0.167</v>
      </c>
      <c r="H117" s="296"/>
      <c r="I117" s="296">
        <v>1.503</v>
      </c>
      <c r="J117" s="296"/>
      <c r="K117" s="387">
        <v>1.16</v>
      </c>
      <c r="L117" s="296"/>
    </row>
    <row r="118" spans="1:12" s="382" customFormat="1" ht="13.5">
      <c r="A118" s="385"/>
      <c r="B118" s="296">
        <f>ROUND((A119-A117)/2,3)</f>
        <v>10</v>
      </c>
      <c r="C118" s="297"/>
      <c r="D118" s="296">
        <f>(C119+C117)*$B118</f>
        <v>25.7</v>
      </c>
      <c r="E118" s="296"/>
      <c r="F118" s="296">
        <f>(E119+E117)*$B118</f>
        <v>0</v>
      </c>
      <c r="G118" s="296"/>
      <c r="H118" s="296">
        <f>(G119+G117)*$B118</f>
        <v>3.0200000000000005</v>
      </c>
      <c r="I118" s="296"/>
      <c r="J118" s="296">
        <f>(I119+I117)*$B118</f>
        <v>22.68</v>
      </c>
      <c r="K118" s="387"/>
      <c r="L118" s="296">
        <f>(K119+K117)*$B118</f>
        <v>25.099999999999998</v>
      </c>
    </row>
    <row r="119" spans="1:12" s="382" customFormat="1" ht="13.5">
      <c r="A119" s="385">
        <v>960</v>
      </c>
      <c r="B119" s="296"/>
      <c r="C119" s="297">
        <v>0.9</v>
      </c>
      <c r="D119" s="296"/>
      <c r="E119" s="296">
        <v>0</v>
      </c>
      <c r="F119" s="296"/>
      <c r="G119" s="296">
        <v>0.135</v>
      </c>
      <c r="H119" s="296"/>
      <c r="I119" s="296">
        <v>0.765</v>
      </c>
      <c r="J119" s="296"/>
      <c r="K119" s="387">
        <v>1.35</v>
      </c>
      <c r="L119" s="296"/>
    </row>
    <row r="120" spans="1:12" s="382" customFormat="1" ht="13.5">
      <c r="A120" s="385"/>
      <c r="B120" s="296">
        <f>ROUND((A121-A119)/2,3)</f>
        <v>6.485</v>
      </c>
      <c r="C120" s="297"/>
      <c r="D120" s="296">
        <f>(C121+C119)*$B120</f>
        <v>18.4174</v>
      </c>
      <c r="E120" s="296"/>
      <c r="F120" s="296">
        <f>(E121+E119)*$B120</f>
        <v>0</v>
      </c>
      <c r="G120" s="296"/>
      <c r="H120" s="296">
        <f>(G121+G119)*$B120</f>
        <v>4.649745</v>
      </c>
      <c r="I120" s="296"/>
      <c r="J120" s="296">
        <f>(I121+I119)*$B120</f>
        <v>13.767655</v>
      </c>
      <c r="K120" s="387"/>
      <c r="L120" s="296">
        <f>(K121+K119)*$B120</f>
        <v>16.27735</v>
      </c>
    </row>
    <row r="121" spans="1:12" s="382" customFormat="1" ht="13.5">
      <c r="A121" s="385">
        <v>972.97</v>
      </c>
      <c r="B121" s="296"/>
      <c r="C121" s="297">
        <v>1.94</v>
      </c>
      <c r="D121" s="296"/>
      <c r="E121" s="296">
        <v>0</v>
      </c>
      <c r="F121" s="296"/>
      <c r="G121" s="296">
        <v>0.582</v>
      </c>
      <c r="H121" s="296"/>
      <c r="I121" s="296">
        <v>1.3579999999999999</v>
      </c>
      <c r="J121" s="296"/>
      <c r="K121" s="387">
        <v>1.16</v>
      </c>
      <c r="L121" s="296"/>
    </row>
    <row r="122" spans="1:12" s="382" customFormat="1" ht="13.5">
      <c r="A122" s="385"/>
      <c r="B122" s="296">
        <f>ROUND((A123-A121)/2,3)</f>
        <v>3.515</v>
      </c>
      <c r="C122" s="297"/>
      <c r="D122" s="296">
        <f>(C123+C121)*$B122</f>
        <v>16.13385</v>
      </c>
      <c r="E122" s="296"/>
      <c r="F122" s="296">
        <f>(E123+E121)*$B122</f>
        <v>0</v>
      </c>
      <c r="G122" s="296"/>
      <c r="H122" s="296">
        <f>(G123+G121)*$B122</f>
        <v>6.2373674999999995</v>
      </c>
      <c r="I122" s="296"/>
      <c r="J122" s="296">
        <f>(I123+I121)*$B122</f>
        <v>9.896482500000001</v>
      </c>
      <c r="K122" s="387"/>
      <c r="L122" s="296">
        <f>(K123+K121)*$B122</f>
        <v>6.99485</v>
      </c>
    </row>
    <row r="123" spans="1:12" s="382" customFormat="1" ht="13.5">
      <c r="A123" s="385">
        <v>980</v>
      </c>
      <c r="B123" s="296"/>
      <c r="C123" s="297">
        <v>2.65</v>
      </c>
      <c r="D123" s="296"/>
      <c r="E123" s="296">
        <v>0</v>
      </c>
      <c r="F123" s="296"/>
      <c r="G123" s="296">
        <v>1.1925</v>
      </c>
      <c r="H123" s="296"/>
      <c r="I123" s="296">
        <v>1.4575</v>
      </c>
      <c r="J123" s="296"/>
      <c r="K123" s="387">
        <v>0.83</v>
      </c>
      <c r="L123" s="296"/>
    </row>
    <row r="124" spans="1:12" s="382" customFormat="1" ht="13.5">
      <c r="A124" s="385"/>
      <c r="B124" s="296">
        <f>ROUND((A125-A123)/2,3)</f>
        <v>10</v>
      </c>
      <c r="C124" s="297"/>
      <c r="D124" s="296">
        <f>(C125+C123)*$B124</f>
        <v>49</v>
      </c>
      <c r="E124" s="296"/>
      <c r="F124" s="296">
        <f>(E125+E123)*$B124</f>
        <v>0</v>
      </c>
      <c r="G124" s="296"/>
      <c r="H124" s="296">
        <f>(G125+G123)*$B124</f>
        <v>18.674999999999997</v>
      </c>
      <c r="I124" s="296"/>
      <c r="J124" s="296">
        <f>(I125+I123)*$B124</f>
        <v>30.324999999999996</v>
      </c>
      <c r="K124" s="387"/>
      <c r="L124" s="296">
        <f>(K125+K123)*$B124</f>
        <v>12.4</v>
      </c>
    </row>
    <row r="125" spans="1:12" s="382" customFormat="1" ht="13.5">
      <c r="A125" s="385">
        <v>1000</v>
      </c>
      <c r="B125" s="296"/>
      <c r="C125" s="297">
        <v>2.25</v>
      </c>
      <c r="D125" s="296"/>
      <c r="E125" s="296">
        <v>0</v>
      </c>
      <c r="F125" s="296"/>
      <c r="G125" s="296">
        <v>0.6749999999999999</v>
      </c>
      <c r="H125" s="296"/>
      <c r="I125" s="296">
        <v>1.575</v>
      </c>
      <c r="J125" s="296"/>
      <c r="K125" s="387">
        <v>0.41</v>
      </c>
      <c r="L125" s="296"/>
    </row>
    <row r="126" spans="1:12" s="382" customFormat="1" ht="13.5">
      <c r="A126" s="385"/>
      <c r="B126" s="296">
        <f>ROUND((A127-A125)/2,3)</f>
        <v>8.78</v>
      </c>
      <c r="C126" s="297"/>
      <c r="D126" s="296">
        <f>(C127+C125)*$B126</f>
        <v>25.8132</v>
      </c>
      <c r="E126" s="296"/>
      <c r="F126" s="296">
        <f>(E127+E125)*$B126</f>
        <v>0</v>
      </c>
      <c r="G126" s="296"/>
      <c r="H126" s="296">
        <f>(G127+G125)*$B126</f>
        <v>6.835229999999999</v>
      </c>
      <c r="I126" s="296"/>
      <c r="J126" s="296">
        <f>(I127+I125)*$B126</f>
        <v>18.977969999999996</v>
      </c>
      <c r="K126" s="387"/>
      <c r="L126" s="296">
        <f>(K127+K125)*$B126</f>
        <v>17.121</v>
      </c>
    </row>
    <row r="127" spans="1:12" s="382" customFormat="1" ht="13.5">
      <c r="A127" s="385">
        <v>1017.56</v>
      </c>
      <c r="B127" s="296"/>
      <c r="C127" s="297">
        <v>0.69</v>
      </c>
      <c r="D127" s="296"/>
      <c r="E127" s="296">
        <v>0</v>
      </c>
      <c r="F127" s="296"/>
      <c r="G127" s="296">
        <v>0.1035</v>
      </c>
      <c r="H127" s="296"/>
      <c r="I127" s="296">
        <v>0.5864999999999999</v>
      </c>
      <c r="J127" s="296"/>
      <c r="K127" s="387">
        <v>1.54</v>
      </c>
      <c r="L127" s="296"/>
    </row>
    <row r="128" spans="1:12" s="382" customFormat="1" ht="13.5">
      <c r="A128" s="385"/>
      <c r="B128" s="296">
        <f>ROUND((A129-A127)/2,3)</f>
        <v>1.22</v>
      </c>
      <c r="C128" s="297"/>
      <c r="D128" s="296">
        <f>(C129+C127)*$B128</f>
        <v>1.5128</v>
      </c>
      <c r="E128" s="296"/>
      <c r="F128" s="296">
        <f>(E129+E127)*$B128</f>
        <v>0</v>
      </c>
      <c r="G128" s="296"/>
      <c r="H128" s="296">
        <f>(G129+G127)*$B128</f>
        <v>0.19337</v>
      </c>
      <c r="I128" s="296"/>
      <c r="J128" s="296">
        <f>(I129+I127)*$B128</f>
        <v>1.3194299999999999</v>
      </c>
      <c r="K128" s="387"/>
      <c r="L128" s="296">
        <f>(K129+K127)*$B128</f>
        <v>3.5867999999999998</v>
      </c>
    </row>
    <row r="129" spans="1:12" s="382" customFormat="1" ht="13.5">
      <c r="A129" s="385">
        <v>1020</v>
      </c>
      <c r="B129" s="296"/>
      <c r="C129" s="297">
        <v>0.55</v>
      </c>
      <c r="D129" s="296"/>
      <c r="E129" s="296">
        <v>0</v>
      </c>
      <c r="F129" s="296"/>
      <c r="G129" s="296">
        <v>0.05500000000000001</v>
      </c>
      <c r="H129" s="296"/>
      <c r="I129" s="296">
        <v>0.49500000000000005</v>
      </c>
      <c r="J129" s="296"/>
      <c r="K129" s="387">
        <v>1.4</v>
      </c>
      <c r="L129" s="296"/>
    </row>
    <row r="130" spans="1:12" s="382" customFormat="1" ht="13.5">
      <c r="A130" s="385"/>
      <c r="B130" s="296">
        <f>ROUND((A131-A129)/2,3)</f>
        <v>10</v>
      </c>
      <c r="C130" s="297"/>
      <c r="D130" s="296">
        <f>(C131+C129)*$B130</f>
        <v>5.5</v>
      </c>
      <c r="E130" s="296"/>
      <c r="F130" s="296">
        <f>(E131+E129)*$B130</f>
        <v>0</v>
      </c>
      <c r="G130" s="296"/>
      <c r="H130" s="296">
        <f>(G131+G129)*$B130</f>
        <v>0.55</v>
      </c>
      <c r="I130" s="296"/>
      <c r="J130" s="296">
        <f>(I131+I129)*$B130</f>
        <v>4.95</v>
      </c>
      <c r="K130" s="387"/>
      <c r="L130" s="296">
        <f>(K131+K129)*$B130</f>
        <v>38.4</v>
      </c>
    </row>
    <row r="131" spans="1:12" s="382" customFormat="1" ht="13.5">
      <c r="A131" s="385">
        <v>1040</v>
      </c>
      <c r="B131" s="296"/>
      <c r="C131" s="297">
        <v>0</v>
      </c>
      <c r="D131" s="296"/>
      <c r="E131" s="296">
        <v>0</v>
      </c>
      <c r="F131" s="296"/>
      <c r="G131" s="296">
        <v>0</v>
      </c>
      <c r="H131" s="296"/>
      <c r="I131" s="296">
        <v>0</v>
      </c>
      <c r="J131" s="296"/>
      <c r="K131" s="387">
        <v>2.44</v>
      </c>
      <c r="L131" s="296"/>
    </row>
    <row r="132" spans="1:12" s="382" customFormat="1" ht="13.5">
      <c r="A132" s="385"/>
      <c r="B132" s="296">
        <f>ROUND((A133-A131)/2,3)</f>
        <v>10</v>
      </c>
      <c r="C132" s="297"/>
      <c r="D132" s="296">
        <f>(C133+C131)*$B132</f>
        <v>0.6</v>
      </c>
      <c r="E132" s="296"/>
      <c r="F132" s="296">
        <f>(E133+E131)*$B132</f>
        <v>0</v>
      </c>
      <c r="G132" s="296"/>
      <c r="H132" s="296">
        <f>(G133+G131)*$B132</f>
        <v>0</v>
      </c>
      <c r="I132" s="296"/>
      <c r="J132" s="296">
        <f>(I133+I131)*$B132</f>
        <v>0.6</v>
      </c>
      <c r="K132" s="387"/>
      <c r="L132" s="296">
        <f>(K133+K131)*$B132</f>
        <v>47.8</v>
      </c>
    </row>
    <row r="133" spans="1:12" s="382" customFormat="1" ht="13.5">
      <c r="A133" s="385">
        <v>1060</v>
      </c>
      <c r="B133" s="296"/>
      <c r="C133" s="297">
        <v>0.06</v>
      </c>
      <c r="D133" s="296"/>
      <c r="E133" s="296">
        <v>0</v>
      </c>
      <c r="F133" s="296"/>
      <c r="G133" s="296">
        <v>0</v>
      </c>
      <c r="H133" s="296"/>
      <c r="I133" s="296">
        <v>0.06</v>
      </c>
      <c r="J133" s="296"/>
      <c r="K133" s="387">
        <v>2.34</v>
      </c>
      <c r="L133" s="296"/>
    </row>
    <row r="134" spans="1:12" s="382" customFormat="1" ht="13.5">
      <c r="A134" s="385"/>
      <c r="B134" s="296">
        <f>ROUND((A135-A133)/2,3)</f>
        <v>10</v>
      </c>
      <c r="C134" s="297"/>
      <c r="D134" s="296">
        <f>(C135+C133)*$B134</f>
        <v>6.299999999999999</v>
      </c>
      <c r="E134" s="296"/>
      <c r="F134" s="296">
        <f>(E135+E133)*$B134</f>
        <v>0</v>
      </c>
      <c r="G134" s="296"/>
      <c r="H134" s="296">
        <f>(G135+G133)*$B134</f>
        <v>0</v>
      </c>
      <c r="I134" s="296"/>
      <c r="J134" s="296">
        <f>(I135+I133)*$B134</f>
        <v>6.299999999999999</v>
      </c>
      <c r="K134" s="387"/>
      <c r="L134" s="296">
        <f>(K135+K133)*$B134</f>
        <v>35.3</v>
      </c>
    </row>
    <row r="135" spans="1:12" s="382" customFormat="1" ht="13.5">
      <c r="A135" s="385">
        <v>1080</v>
      </c>
      <c r="B135" s="296"/>
      <c r="C135" s="297">
        <v>0.57</v>
      </c>
      <c r="D135" s="296"/>
      <c r="E135" s="296">
        <v>0</v>
      </c>
      <c r="F135" s="296"/>
      <c r="G135" s="296">
        <v>0</v>
      </c>
      <c r="H135" s="296"/>
      <c r="I135" s="296">
        <v>0.57</v>
      </c>
      <c r="J135" s="296"/>
      <c r="K135" s="387">
        <v>1.19</v>
      </c>
      <c r="L135" s="296"/>
    </row>
    <row r="136" spans="1:12" s="382" customFormat="1" ht="13.5">
      <c r="A136" s="385"/>
      <c r="B136" s="296">
        <f>ROUND((A137-A135)/2,3)</f>
        <v>3.97</v>
      </c>
      <c r="C136" s="297"/>
      <c r="D136" s="296">
        <f>(C137+C135)*$B136</f>
        <v>5.3991999999999996</v>
      </c>
      <c r="E136" s="296"/>
      <c r="F136" s="296">
        <f>(E137+E135)*$B136</f>
        <v>0</v>
      </c>
      <c r="G136" s="296"/>
      <c r="H136" s="296">
        <f>(G137+G135)*$B136</f>
        <v>0</v>
      </c>
      <c r="I136" s="296"/>
      <c r="J136" s="296">
        <f>(I137+I135)*$B136</f>
        <v>5.3991999999999996</v>
      </c>
      <c r="K136" s="387"/>
      <c r="L136" s="296">
        <f>(K137+K135)*$B136</f>
        <v>8.059099999999999</v>
      </c>
    </row>
    <row r="137" spans="1:12" s="382" customFormat="1" ht="13.5">
      <c r="A137" s="385">
        <v>1087.94</v>
      </c>
      <c r="B137" s="296"/>
      <c r="C137" s="297">
        <v>0.79</v>
      </c>
      <c r="D137" s="296"/>
      <c r="E137" s="296">
        <v>0</v>
      </c>
      <c r="F137" s="296"/>
      <c r="G137" s="296">
        <v>0</v>
      </c>
      <c r="H137" s="296"/>
      <c r="I137" s="296">
        <v>0.79</v>
      </c>
      <c r="J137" s="296"/>
      <c r="K137" s="387">
        <v>0.84</v>
      </c>
      <c r="L137" s="296"/>
    </row>
    <row r="138" spans="1:12" s="382" customFormat="1" ht="13.5">
      <c r="A138" s="385"/>
      <c r="B138" s="296">
        <f>ROUND((A139-A137)/2,3)</f>
        <v>6.03</v>
      </c>
      <c r="C138" s="297"/>
      <c r="D138" s="296">
        <f>(C139+C137)*$B138</f>
        <v>11.336400000000001</v>
      </c>
      <c r="E138" s="296"/>
      <c r="F138" s="296">
        <f>(E139+E137)*$B138</f>
        <v>0</v>
      </c>
      <c r="G138" s="296"/>
      <c r="H138" s="296">
        <f>(G139+G137)*$B138</f>
        <v>0</v>
      </c>
      <c r="I138" s="296"/>
      <c r="J138" s="296">
        <f>(I139+I137)*$B138</f>
        <v>11.336400000000001</v>
      </c>
      <c r="K138" s="387"/>
      <c r="L138" s="296">
        <f>(K139+K137)*$B138</f>
        <v>5.7285</v>
      </c>
    </row>
    <row r="139" spans="1:12" s="382" customFormat="1" ht="13.5">
      <c r="A139" s="385">
        <v>1100</v>
      </c>
      <c r="B139" s="296"/>
      <c r="C139" s="297">
        <v>1.09</v>
      </c>
      <c r="D139" s="296"/>
      <c r="E139" s="296">
        <v>0</v>
      </c>
      <c r="F139" s="296"/>
      <c r="G139" s="296">
        <v>0</v>
      </c>
      <c r="H139" s="296"/>
      <c r="I139" s="296">
        <v>1.09</v>
      </c>
      <c r="J139" s="296"/>
      <c r="K139" s="387">
        <v>0.11</v>
      </c>
      <c r="L139" s="296"/>
    </row>
    <row r="140" spans="1:12" s="382" customFormat="1" ht="13.5">
      <c r="A140" s="385"/>
      <c r="B140" s="296">
        <f>ROUND((A141-A139)/2,3)</f>
        <v>10</v>
      </c>
      <c r="C140" s="297"/>
      <c r="D140" s="296">
        <f>(C141+C139)*$B140</f>
        <v>18.2</v>
      </c>
      <c r="E140" s="296"/>
      <c r="F140" s="296">
        <f>(E141+E139)*$B140</f>
        <v>0</v>
      </c>
      <c r="G140" s="296"/>
      <c r="H140" s="296">
        <f>(G141+G139)*$B140</f>
        <v>0</v>
      </c>
      <c r="I140" s="296"/>
      <c r="J140" s="296">
        <f>(I141+I139)*$B140</f>
        <v>18.2</v>
      </c>
      <c r="K140" s="387"/>
      <c r="L140" s="296">
        <f>(K141+K139)*$B140</f>
        <v>7.1</v>
      </c>
    </row>
    <row r="141" spans="1:12" s="382" customFormat="1" ht="13.5">
      <c r="A141" s="385">
        <v>1120</v>
      </c>
      <c r="B141" s="296"/>
      <c r="C141" s="297">
        <v>0.73</v>
      </c>
      <c r="D141" s="296"/>
      <c r="E141" s="296">
        <v>0</v>
      </c>
      <c r="F141" s="296"/>
      <c r="G141" s="296">
        <v>0</v>
      </c>
      <c r="H141" s="296"/>
      <c r="I141" s="296">
        <v>0.73</v>
      </c>
      <c r="J141" s="296"/>
      <c r="K141" s="387">
        <v>0.6</v>
      </c>
      <c r="L141" s="296"/>
    </row>
    <row r="142" spans="1:12" s="382" customFormat="1" ht="13.5">
      <c r="A142" s="385"/>
      <c r="B142" s="296">
        <f>ROUND((A143-A141)/2,3)</f>
        <v>7.755</v>
      </c>
      <c r="C142" s="297"/>
      <c r="D142" s="296">
        <f>(C143+C141)*$B142</f>
        <v>7.755</v>
      </c>
      <c r="E142" s="296"/>
      <c r="F142" s="296">
        <f>(E143+E141)*$B142</f>
        <v>0.628155</v>
      </c>
      <c r="G142" s="296"/>
      <c r="H142" s="296">
        <f>(G143+G141)*$B142</f>
        <v>0.628155</v>
      </c>
      <c r="I142" s="296"/>
      <c r="J142" s="296">
        <f>(I143+I141)*$B142</f>
        <v>6.49869</v>
      </c>
      <c r="K142" s="387"/>
      <c r="L142" s="296">
        <f>(K143+K141)*$B142</f>
        <v>6.5142</v>
      </c>
    </row>
    <row r="143" spans="1:12" s="382" customFormat="1" ht="13.5">
      <c r="A143" s="385">
        <v>1135.51</v>
      </c>
      <c r="B143" s="296"/>
      <c r="C143" s="297">
        <v>0.27</v>
      </c>
      <c r="D143" s="296"/>
      <c r="E143" s="296">
        <v>0.081</v>
      </c>
      <c r="F143" s="296"/>
      <c r="G143" s="296">
        <v>0.081</v>
      </c>
      <c r="H143" s="296"/>
      <c r="I143" s="296">
        <v>0.108</v>
      </c>
      <c r="J143" s="296"/>
      <c r="K143" s="387">
        <v>0.24</v>
      </c>
      <c r="L143" s="296"/>
    </row>
    <row r="144" spans="1:19" s="382" customFormat="1" ht="13.5">
      <c r="A144" s="385"/>
      <c r="B144" s="296">
        <f>ROUND((A145-A143)/2,3)</f>
        <v>2.245</v>
      </c>
      <c r="C144" s="297"/>
      <c r="D144" s="296">
        <f>(C145+C143)*$B144</f>
        <v>2.7389</v>
      </c>
      <c r="E144" s="296"/>
      <c r="F144" s="296">
        <f>(E145+E143)*$B144</f>
        <v>1.4614949999999998</v>
      </c>
      <c r="G144" s="296"/>
      <c r="H144" s="296">
        <f>(G145+G143)*$B144</f>
        <v>0.9283075</v>
      </c>
      <c r="I144" s="296"/>
      <c r="J144" s="296">
        <f>(I145+I143)*$B144</f>
        <v>0.34909750000000006</v>
      </c>
      <c r="K144" s="387"/>
      <c r="L144" s="296">
        <f>(K145+K143)*$B144</f>
        <v>0.5388000000000001</v>
      </c>
      <c r="O144" s="578"/>
      <c r="P144" s="578"/>
      <c r="R144" s="578"/>
      <c r="S144" s="578"/>
    </row>
    <row r="145" spans="1:14" s="382" customFormat="1" ht="13.5">
      <c r="A145" s="385">
        <v>1140</v>
      </c>
      <c r="B145" s="296"/>
      <c r="C145" s="297">
        <v>0.95</v>
      </c>
      <c r="D145" s="296"/>
      <c r="E145" s="296">
        <v>0.57</v>
      </c>
      <c r="F145" s="296"/>
      <c r="G145" s="296">
        <v>0.33249999999999996</v>
      </c>
      <c r="H145" s="296"/>
      <c r="I145" s="296">
        <v>0.04750000000000004</v>
      </c>
      <c r="J145" s="296"/>
      <c r="K145" s="387">
        <v>0</v>
      </c>
      <c r="L145" s="296"/>
      <c r="N145" s="299"/>
    </row>
    <row r="146" spans="1:14" s="382" customFormat="1" ht="13.5">
      <c r="A146" s="385"/>
      <c r="B146" s="296">
        <f>ROUND((A147-A145)/2,3)</f>
        <v>10</v>
      </c>
      <c r="C146" s="297"/>
      <c r="D146" s="296">
        <f>(C147+C145)*$B146</f>
        <v>27</v>
      </c>
      <c r="E146" s="296"/>
      <c r="F146" s="296">
        <f>(E147+E145)*$B146</f>
        <v>18.825</v>
      </c>
      <c r="G146" s="296"/>
      <c r="H146" s="296">
        <f>(G147+G145)*$B146</f>
        <v>7.7</v>
      </c>
      <c r="I146" s="296"/>
      <c r="J146" s="296">
        <f>(I147+I145)*$B146</f>
        <v>0.4750000000000004</v>
      </c>
      <c r="K146" s="387"/>
      <c r="L146" s="296">
        <f>(K147+K145)*$B146</f>
        <v>0</v>
      </c>
      <c r="N146" s="299"/>
    </row>
    <row r="147" spans="1:12" s="382" customFormat="1" ht="13.5">
      <c r="A147" s="385">
        <v>1160</v>
      </c>
      <c r="B147" s="296"/>
      <c r="C147" s="297">
        <v>1.75</v>
      </c>
      <c r="D147" s="296"/>
      <c r="E147" s="296">
        <v>1.3125</v>
      </c>
      <c r="F147" s="296"/>
      <c r="G147" s="296">
        <v>0.4375</v>
      </c>
      <c r="H147" s="296"/>
      <c r="I147" s="296">
        <v>0</v>
      </c>
      <c r="J147" s="296"/>
      <c r="K147" s="387">
        <v>0</v>
      </c>
      <c r="L147" s="296"/>
    </row>
    <row r="148" spans="1:12" s="382" customFormat="1" ht="13.5">
      <c r="A148" s="385"/>
      <c r="B148" s="296">
        <f>ROUND((A149-A147)/2,3)</f>
        <v>10</v>
      </c>
      <c r="C148" s="297"/>
      <c r="D148" s="296">
        <f>(C149+C147)*$B148</f>
        <v>28.6</v>
      </c>
      <c r="E148" s="296"/>
      <c r="F148" s="296">
        <f>(E149+E147)*$B148</f>
        <v>19.785</v>
      </c>
      <c r="G148" s="296"/>
      <c r="H148" s="296">
        <f>(G149+G147)*$B148</f>
        <v>8.260000000000002</v>
      </c>
      <c r="I148" s="296"/>
      <c r="J148" s="296">
        <f>(I149+I147)*$B148</f>
        <v>0.5550000000000006</v>
      </c>
      <c r="K148" s="387"/>
      <c r="L148" s="296">
        <f>(K149+K147)*$B148</f>
        <v>3.7</v>
      </c>
    </row>
    <row r="149" spans="1:12" s="382" customFormat="1" ht="13.5">
      <c r="A149" s="385">
        <v>1180</v>
      </c>
      <c r="B149" s="296"/>
      <c r="C149" s="297">
        <v>1.11</v>
      </c>
      <c r="D149" s="296"/>
      <c r="E149" s="296">
        <v>0.666</v>
      </c>
      <c r="F149" s="296"/>
      <c r="G149" s="296">
        <v>0.3885</v>
      </c>
      <c r="H149" s="296"/>
      <c r="I149" s="296">
        <v>0.055500000000000056</v>
      </c>
      <c r="J149" s="296"/>
      <c r="K149" s="387">
        <v>0.37</v>
      </c>
      <c r="L149" s="296"/>
    </row>
    <row r="150" spans="1:12" s="382" customFormat="1" ht="13.5">
      <c r="A150" s="385"/>
      <c r="B150" s="296">
        <f>ROUND((A151-A149)/2,3)</f>
        <v>1.54</v>
      </c>
      <c r="C150" s="297"/>
      <c r="D150" s="296">
        <f>(C151+C149)*$B150</f>
        <v>3.5728000000000004</v>
      </c>
      <c r="E150" s="296"/>
      <c r="F150" s="296">
        <f>(E151+E149)*$B150</f>
        <v>1.58466</v>
      </c>
      <c r="G150" s="296"/>
      <c r="H150" s="296">
        <f>(G151+G149)*$B150</f>
        <v>1.15731</v>
      </c>
      <c r="I150" s="296"/>
      <c r="J150" s="296">
        <f>(I151+I149)*$B150</f>
        <v>0.83083</v>
      </c>
      <c r="K150" s="387"/>
      <c r="L150" s="296">
        <f>(K151+K149)*$B150</f>
        <v>1.1858</v>
      </c>
    </row>
    <row r="151" spans="1:12" s="382" customFormat="1" ht="13.5">
      <c r="A151" s="385">
        <v>1183.08</v>
      </c>
      <c r="B151" s="296"/>
      <c r="C151" s="297">
        <v>1.21</v>
      </c>
      <c r="D151" s="296"/>
      <c r="E151" s="296">
        <v>0.363</v>
      </c>
      <c r="F151" s="296"/>
      <c r="G151" s="296">
        <v>0.363</v>
      </c>
      <c r="H151" s="296"/>
      <c r="I151" s="296">
        <v>0.48399999999999993</v>
      </c>
      <c r="J151" s="296"/>
      <c r="K151" s="387">
        <v>0.4</v>
      </c>
      <c r="L151" s="296"/>
    </row>
    <row r="152" spans="1:12" s="382" customFormat="1" ht="13.5">
      <c r="A152" s="385"/>
      <c r="B152" s="296">
        <f>ROUND((A153-A151)/2,3)</f>
        <v>8.46</v>
      </c>
      <c r="C152" s="297"/>
      <c r="D152" s="296">
        <f>(C153+C151)*$B152</f>
        <v>15.0588</v>
      </c>
      <c r="E152" s="296"/>
      <c r="F152" s="296">
        <f>(E153+E151)*$B152</f>
        <v>3.07098</v>
      </c>
      <c r="G152" s="296"/>
      <c r="H152" s="296">
        <f>(G153+G151)*$B152</f>
        <v>3.07098</v>
      </c>
      <c r="I152" s="296"/>
      <c r="J152" s="296">
        <f>(I153+I151)*$B152</f>
        <v>8.916839999999999</v>
      </c>
      <c r="K152" s="387"/>
      <c r="L152" s="296">
        <f>(K153+K151)*$B152</f>
        <v>8.883000000000001</v>
      </c>
    </row>
    <row r="153" spans="1:12" s="382" customFormat="1" ht="13.5">
      <c r="A153" s="385">
        <v>1200</v>
      </c>
      <c r="B153" s="296"/>
      <c r="C153" s="297">
        <v>0.57</v>
      </c>
      <c r="D153" s="296"/>
      <c r="E153" s="296">
        <v>0</v>
      </c>
      <c r="F153" s="296"/>
      <c r="G153" s="296">
        <v>0</v>
      </c>
      <c r="H153" s="296"/>
      <c r="I153" s="296">
        <v>0.57</v>
      </c>
      <c r="J153" s="296"/>
      <c r="K153" s="387">
        <v>0.65</v>
      </c>
      <c r="L153" s="296"/>
    </row>
    <row r="154" spans="1:12" s="382" customFormat="1" ht="13.5">
      <c r="A154" s="385"/>
      <c r="B154" s="296">
        <f>ROUND((A155-A153)/2,3)</f>
        <v>10</v>
      </c>
      <c r="C154" s="297"/>
      <c r="D154" s="296">
        <f>(C155+C153)*$B154</f>
        <v>10.3</v>
      </c>
      <c r="E154" s="296"/>
      <c r="F154" s="296">
        <f>(E155+E153)*$B154</f>
        <v>0</v>
      </c>
      <c r="G154" s="296"/>
      <c r="H154" s="296">
        <f>(G155+G153)*$B154</f>
        <v>0</v>
      </c>
      <c r="I154" s="296"/>
      <c r="J154" s="296">
        <f>(I155+I153)*$B154</f>
        <v>10.3</v>
      </c>
      <c r="K154" s="387"/>
      <c r="L154" s="296">
        <f>(K155+K153)*$B154</f>
        <v>27.1</v>
      </c>
    </row>
    <row r="155" spans="1:12" s="382" customFormat="1" ht="13.5">
      <c r="A155" s="385">
        <v>1220</v>
      </c>
      <c r="B155" s="296"/>
      <c r="C155" s="297">
        <v>0.46</v>
      </c>
      <c r="D155" s="296"/>
      <c r="E155" s="296">
        <v>0</v>
      </c>
      <c r="F155" s="296"/>
      <c r="G155" s="296">
        <v>0</v>
      </c>
      <c r="H155" s="296"/>
      <c r="I155" s="296">
        <v>0.46</v>
      </c>
      <c r="J155" s="296"/>
      <c r="K155" s="387">
        <v>2.06</v>
      </c>
      <c r="L155" s="296"/>
    </row>
    <row r="156" spans="1:12" s="382" customFormat="1" ht="13.5">
      <c r="A156" s="385"/>
      <c r="B156" s="296">
        <f>ROUND((A157-A155)/2,3)</f>
        <v>10</v>
      </c>
      <c r="C156" s="297"/>
      <c r="D156" s="296">
        <f>(C157+C155)*$B156</f>
        <v>7</v>
      </c>
      <c r="E156" s="296"/>
      <c r="F156" s="296">
        <f>(E157+E155)*$B156</f>
        <v>0</v>
      </c>
      <c r="G156" s="296"/>
      <c r="H156" s="296">
        <f>(G157+G155)*$B156</f>
        <v>0</v>
      </c>
      <c r="I156" s="296"/>
      <c r="J156" s="296">
        <f>(I157+I155)*$B156</f>
        <v>7</v>
      </c>
      <c r="K156" s="387"/>
      <c r="L156" s="296">
        <f>(K157+K155)*$B156</f>
        <v>35.7</v>
      </c>
    </row>
    <row r="157" spans="1:12" s="382" customFormat="1" ht="13.5">
      <c r="A157" s="385">
        <v>1240</v>
      </c>
      <c r="B157" s="296"/>
      <c r="C157" s="297">
        <v>0.24</v>
      </c>
      <c r="D157" s="296"/>
      <c r="E157" s="296">
        <v>0</v>
      </c>
      <c r="F157" s="296"/>
      <c r="G157" s="296">
        <v>0</v>
      </c>
      <c r="H157" s="296"/>
      <c r="I157" s="296">
        <v>0.24</v>
      </c>
      <c r="J157" s="296"/>
      <c r="K157" s="387">
        <v>1.51</v>
      </c>
      <c r="L157" s="296"/>
    </row>
    <row r="158" spans="1:12" s="382" customFormat="1" ht="13.5">
      <c r="A158" s="385"/>
      <c r="B158" s="296">
        <f>ROUND((A159-A157)/2,3)</f>
        <v>10</v>
      </c>
      <c r="C158" s="297"/>
      <c r="D158" s="296">
        <f>(C159+C157)*$B158</f>
        <v>10.7</v>
      </c>
      <c r="E158" s="296"/>
      <c r="F158" s="296">
        <f>(E159+E157)*$B158</f>
        <v>0</v>
      </c>
      <c r="G158" s="296"/>
      <c r="H158" s="296">
        <f>(G159+G157)*$B158</f>
        <v>0</v>
      </c>
      <c r="I158" s="296"/>
      <c r="J158" s="296">
        <f>(I159+I157)*$B158</f>
        <v>10.7</v>
      </c>
      <c r="K158" s="387"/>
      <c r="L158" s="296">
        <f>(K159+K157)*$B158</f>
        <v>20.8</v>
      </c>
    </row>
    <row r="159" spans="1:12" s="382" customFormat="1" ht="13.5">
      <c r="A159" s="385">
        <v>1260</v>
      </c>
      <c r="B159" s="296"/>
      <c r="C159" s="297">
        <v>0.83</v>
      </c>
      <c r="D159" s="296"/>
      <c r="E159" s="296">
        <v>0</v>
      </c>
      <c r="F159" s="296"/>
      <c r="G159" s="296">
        <v>0</v>
      </c>
      <c r="H159" s="296"/>
      <c r="I159" s="296">
        <v>0.83</v>
      </c>
      <c r="J159" s="296"/>
      <c r="K159" s="387">
        <v>0.57</v>
      </c>
      <c r="L159" s="296"/>
    </row>
    <row r="160" spans="1:12" s="382" customFormat="1" ht="13.5">
      <c r="A160" s="385"/>
      <c r="B160" s="296">
        <f>ROUND((A161-A159)/2,3)</f>
        <v>10</v>
      </c>
      <c r="C160" s="297"/>
      <c r="D160" s="296">
        <f>(C161+C159)*$B160</f>
        <v>26.099999999999998</v>
      </c>
      <c r="E160" s="296"/>
      <c r="F160" s="296">
        <f>(E161+E159)*$B160</f>
        <v>0</v>
      </c>
      <c r="G160" s="296"/>
      <c r="H160" s="296">
        <f>(G161+G159)*$B160</f>
        <v>0</v>
      </c>
      <c r="I160" s="296"/>
      <c r="J160" s="296">
        <f>(I161+I159)*$B160</f>
        <v>26.099999999999998</v>
      </c>
      <c r="K160" s="387"/>
      <c r="L160" s="296">
        <f>(K161+K159)*$B160</f>
        <v>14.9</v>
      </c>
    </row>
    <row r="161" spans="1:12" s="382" customFormat="1" ht="13.5">
      <c r="A161" s="385">
        <v>1280</v>
      </c>
      <c r="B161" s="296"/>
      <c r="C161" s="297">
        <v>1.78</v>
      </c>
      <c r="D161" s="296"/>
      <c r="E161" s="296">
        <v>0</v>
      </c>
      <c r="F161" s="296"/>
      <c r="G161" s="296">
        <v>0</v>
      </c>
      <c r="H161" s="296"/>
      <c r="I161" s="296">
        <v>1.78</v>
      </c>
      <c r="J161" s="296"/>
      <c r="K161" s="387">
        <v>0.92</v>
      </c>
      <c r="L161" s="296"/>
    </row>
    <row r="162" spans="1:12" s="382" customFormat="1" ht="13.5">
      <c r="A162" s="385"/>
      <c r="B162" s="296">
        <f>ROUND((A163-A161)/2,3)</f>
        <v>10</v>
      </c>
      <c r="C162" s="297"/>
      <c r="D162" s="296">
        <f>(C163+C161)*$B162</f>
        <v>41.5</v>
      </c>
      <c r="E162" s="296"/>
      <c r="F162" s="296">
        <f>(E163+E161)*$B162</f>
        <v>0</v>
      </c>
      <c r="G162" s="296"/>
      <c r="H162" s="296">
        <f>(G163+G161)*$B162</f>
        <v>0</v>
      </c>
      <c r="I162" s="296"/>
      <c r="J162" s="296">
        <f>(I163+I161)*$B162</f>
        <v>41.5</v>
      </c>
      <c r="K162" s="387"/>
      <c r="L162" s="296">
        <f>(K163+K161)*$B162</f>
        <v>15.700000000000001</v>
      </c>
    </row>
    <row r="163" spans="1:12" s="382" customFormat="1" ht="13.5">
      <c r="A163" s="385">
        <v>1300</v>
      </c>
      <c r="B163" s="296"/>
      <c r="C163" s="297">
        <v>2.37</v>
      </c>
      <c r="D163" s="296"/>
      <c r="E163" s="296">
        <v>0</v>
      </c>
      <c r="F163" s="296"/>
      <c r="G163" s="296">
        <v>0</v>
      </c>
      <c r="H163" s="296"/>
      <c r="I163" s="296">
        <v>2.37</v>
      </c>
      <c r="J163" s="296"/>
      <c r="K163" s="387">
        <v>0.65</v>
      </c>
      <c r="L163" s="296"/>
    </row>
    <row r="164" spans="1:12" s="382" customFormat="1" ht="13.5">
      <c r="A164" s="385"/>
      <c r="B164" s="296">
        <f>ROUND((A165-A163)/2,3)</f>
        <v>10</v>
      </c>
      <c r="C164" s="297"/>
      <c r="D164" s="296">
        <f>(C165+C163)*$B164</f>
        <v>44.7</v>
      </c>
      <c r="E164" s="296"/>
      <c r="F164" s="296">
        <f>(E165+E163)*$B164</f>
        <v>0</v>
      </c>
      <c r="G164" s="296"/>
      <c r="H164" s="296">
        <f>(G165+G163)*$B164</f>
        <v>2.1</v>
      </c>
      <c r="I164" s="296"/>
      <c r="J164" s="296">
        <f>(I165+I163)*$B164</f>
        <v>42.599999999999994</v>
      </c>
      <c r="K164" s="387"/>
      <c r="L164" s="296">
        <f>(K165+K163)*$B164</f>
        <v>22.799999999999997</v>
      </c>
    </row>
    <row r="165" spans="1:12" s="382" customFormat="1" ht="13.5">
      <c r="A165" s="385">
        <v>1320</v>
      </c>
      <c r="B165" s="296"/>
      <c r="C165" s="297">
        <v>2.1</v>
      </c>
      <c r="D165" s="296"/>
      <c r="E165" s="296">
        <v>0</v>
      </c>
      <c r="F165" s="296"/>
      <c r="G165" s="296">
        <v>0.21000000000000002</v>
      </c>
      <c r="H165" s="296"/>
      <c r="I165" s="296">
        <v>1.8900000000000001</v>
      </c>
      <c r="J165" s="296"/>
      <c r="K165" s="387">
        <v>1.63</v>
      </c>
      <c r="L165" s="296"/>
    </row>
    <row r="166" spans="1:19" s="382" customFormat="1" ht="13.5">
      <c r="A166" s="385"/>
      <c r="B166" s="296">
        <f>ROUND((A167-A165)/2,3)</f>
        <v>10</v>
      </c>
      <c r="C166" s="297"/>
      <c r="D166" s="296">
        <f>(C167+C165)*$B166</f>
        <v>29.700000000000003</v>
      </c>
      <c r="E166" s="296"/>
      <c r="F166" s="296">
        <f>(E167+E165)*$B166</f>
        <v>0</v>
      </c>
      <c r="G166" s="296"/>
      <c r="H166" s="296">
        <f>(G167+G165)*$B166</f>
        <v>4.275</v>
      </c>
      <c r="I166" s="296"/>
      <c r="J166" s="296">
        <f>(I167+I165)*$B166</f>
        <v>25.425</v>
      </c>
      <c r="K166" s="387"/>
      <c r="L166" s="296">
        <f>(K167+K165)*$B166</f>
        <v>28.499999999999996</v>
      </c>
      <c r="O166" s="578"/>
      <c r="P166" s="578"/>
      <c r="R166" s="578"/>
      <c r="S166" s="578"/>
    </row>
    <row r="167" spans="1:14" s="382" customFormat="1" ht="13.5">
      <c r="A167" s="385">
        <v>1340</v>
      </c>
      <c r="B167" s="296"/>
      <c r="C167" s="297">
        <v>0.87</v>
      </c>
      <c r="D167" s="296"/>
      <c r="E167" s="296">
        <v>0</v>
      </c>
      <c r="F167" s="296"/>
      <c r="G167" s="296">
        <v>0.2175</v>
      </c>
      <c r="H167" s="296"/>
      <c r="I167" s="296">
        <v>0.6525</v>
      </c>
      <c r="J167" s="296"/>
      <c r="K167" s="387">
        <v>1.22</v>
      </c>
      <c r="L167" s="296"/>
      <c r="N167" s="299"/>
    </row>
    <row r="168" spans="1:14" s="382" customFormat="1" ht="13.5">
      <c r="A168" s="385"/>
      <c r="B168" s="296">
        <f>ROUND((A169-A167)/2,3)</f>
        <v>10</v>
      </c>
      <c r="C168" s="297"/>
      <c r="D168" s="296">
        <f>(C169+C167)*$B168</f>
        <v>16.099999999999998</v>
      </c>
      <c r="E168" s="296"/>
      <c r="F168" s="296">
        <f>(E169+E167)*$B168</f>
        <v>0</v>
      </c>
      <c r="G168" s="296"/>
      <c r="H168" s="296">
        <f>(G169+G167)*$B168</f>
        <v>2.915</v>
      </c>
      <c r="I168" s="296"/>
      <c r="J168" s="296">
        <f>(I169+I167)*$B168</f>
        <v>13.185</v>
      </c>
      <c r="K168" s="387"/>
      <c r="L168" s="296">
        <f>(K169+K167)*$B168</f>
        <v>17.2</v>
      </c>
      <c r="N168" s="299"/>
    </row>
    <row r="169" spans="1:12" s="382" customFormat="1" ht="13.5">
      <c r="A169" s="385">
        <v>1360</v>
      </c>
      <c r="B169" s="296"/>
      <c r="C169" s="297">
        <v>0.74</v>
      </c>
      <c r="D169" s="296"/>
      <c r="E169" s="296">
        <v>0</v>
      </c>
      <c r="F169" s="296"/>
      <c r="G169" s="296">
        <v>0.074</v>
      </c>
      <c r="H169" s="296"/>
      <c r="I169" s="296">
        <v>0.666</v>
      </c>
      <c r="J169" s="296"/>
      <c r="K169" s="387">
        <v>0.5</v>
      </c>
      <c r="L169" s="296"/>
    </row>
    <row r="170" spans="1:12" s="382" customFormat="1" ht="13.5">
      <c r="A170" s="385"/>
      <c r="B170" s="296">
        <f>ROUND((A171-A169)/2,3)</f>
        <v>10</v>
      </c>
      <c r="C170" s="297"/>
      <c r="D170" s="296">
        <f>(C171+C169)*$B170</f>
        <v>30.8</v>
      </c>
      <c r="E170" s="296"/>
      <c r="F170" s="296">
        <f>(E171+E169)*$B170</f>
        <v>0</v>
      </c>
      <c r="G170" s="296"/>
      <c r="H170" s="296">
        <f>(G171+G169)*$B170</f>
        <v>0.74</v>
      </c>
      <c r="I170" s="296"/>
      <c r="J170" s="296">
        <f>(I171+I169)*$B170</f>
        <v>30.06</v>
      </c>
      <c r="K170" s="387"/>
      <c r="L170" s="296">
        <f>(K171+K169)*$B170</f>
        <v>5.1</v>
      </c>
    </row>
    <row r="171" spans="1:12" s="382" customFormat="1" ht="13.5">
      <c r="A171" s="385">
        <v>1380</v>
      </c>
      <c r="B171" s="296"/>
      <c r="C171" s="297">
        <v>2.34</v>
      </c>
      <c r="D171" s="296"/>
      <c r="E171" s="296">
        <v>0</v>
      </c>
      <c r="F171" s="296"/>
      <c r="G171" s="296">
        <v>0</v>
      </c>
      <c r="H171" s="296"/>
      <c r="I171" s="296">
        <v>2.34</v>
      </c>
      <c r="J171" s="296"/>
      <c r="K171" s="387">
        <v>0.01</v>
      </c>
      <c r="L171" s="296"/>
    </row>
    <row r="172" spans="1:12" s="382" customFormat="1" ht="13.5">
      <c r="A172" s="385"/>
      <c r="B172" s="296">
        <f>ROUND((A173-A171)/2,3)</f>
        <v>10</v>
      </c>
      <c r="C172" s="297"/>
      <c r="D172" s="296">
        <f>(C173+C171)*$B172</f>
        <v>37.3</v>
      </c>
      <c r="E172" s="296"/>
      <c r="F172" s="296">
        <f>(E173+E171)*$B172</f>
        <v>0</v>
      </c>
      <c r="G172" s="296"/>
      <c r="H172" s="296">
        <f>(G173+G171)*$B172</f>
        <v>0</v>
      </c>
      <c r="I172" s="296"/>
      <c r="J172" s="296">
        <f>(I173+I171)*$B172</f>
        <v>37.3</v>
      </c>
      <c r="K172" s="387"/>
      <c r="L172" s="296">
        <f>(K173+K171)*$B172</f>
        <v>0.4</v>
      </c>
    </row>
    <row r="173" spans="1:12" s="382" customFormat="1" ht="13.5">
      <c r="A173" s="385">
        <v>1400</v>
      </c>
      <c r="B173" s="296"/>
      <c r="C173" s="297">
        <v>1.39</v>
      </c>
      <c r="D173" s="296"/>
      <c r="E173" s="296">
        <v>0</v>
      </c>
      <c r="F173" s="296"/>
      <c r="G173" s="296">
        <v>0</v>
      </c>
      <c r="H173" s="296"/>
      <c r="I173" s="296">
        <v>1.39</v>
      </c>
      <c r="J173" s="296"/>
      <c r="K173" s="387">
        <v>0.03</v>
      </c>
      <c r="L173" s="296"/>
    </row>
    <row r="174" spans="1:12" s="382" customFormat="1" ht="13.5">
      <c r="A174" s="385"/>
      <c r="B174" s="296">
        <f>ROUND((A175-A173)/2,3)</f>
        <v>10</v>
      </c>
      <c r="C174" s="297"/>
      <c r="D174" s="296">
        <f>(C175+C173)*$B174</f>
        <v>15.899999999999999</v>
      </c>
      <c r="E174" s="296"/>
      <c r="F174" s="296">
        <f>(E175+E173)*$B174</f>
        <v>0</v>
      </c>
      <c r="G174" s="296"/>
      <c r="H174" s="296">
        <f>(G175+G173)*$B174</f>
        <v>0</v>
      </c>
      <c r="I174" s="296"/>
      <c r="J174" s="296">
        <f>(I175+I173)*$B174</f>
        <v>15.899999999999999</v>
      </c>
      <c r="K174" s="387"/>
      <c r="L174" s="296">
        <f>(K175+K173)*$B174</f>
        <v>5.300000000000001</v>
      </c>
    </row>
    <row r="175" spans="1:12" s="382" customFormat="1" ht="13.5">
      <c r="A175" s="385">
        <v>1420</v>
      </c>
      <c r="B175" s="296"/>
      <c r="C175" s="297">
        <v>0.2</v>
      </c>
      <c r="D175" s="296"/>
      <c r="E175" s="296">
        <v>0</v>
      </c>
      <c r="F175" s="296"/>
      <c r="G175" s="296">
        <v>0</v>
      </c>
      <c r="H175" s="296"/>
      <c r="I175" s="296">
        <v>0.2</v>
      </c>
      <c r="J175" s="296"/>
      <c r="K175" s="387">
        <v>0.5</v>
      </c>
      <c r="L175" s="296"/>
    </row>
    <row r="176" spans="1:12" s="382" customFormat="1" ht="13.5">
      <c r="A176" s="385"/>
      <c r="B176" s="296">
        <f>ROUND((A177-A175)/2,3)</f>
        <v>10</v>
      </c>
      <c r="C176" s="297"/>
      <c r="D176" s="296">
        <f>(C177+C175)*$B176</f>
        <v>6.1</v>
      </c>
      <c r="E176" s="296"/>
      <c r="F176" s="296">
        <f>(E177+E175)*$B176</f>
        <v>0</v>
      </c>
      <c r="G176" s="296"/>
      <c r="H176" s="296">
        <f>(G177+G175)*$B176</f>
        <v>0</v>
      </c>
      <c r="I176" s="296"/>
      <c r="J176" s="296">
        <f>(I177+I175)*$B176</f>
        <v>6.1</v>
      </c>
      <c r="K176" s="387"/>
      <c r="L176" s="296">
        <f>(K177+K175)*$B176</f>
        <v>9.9</v>
      </c>
    </row>
    <row r="177" spans="1:12" s="382" customFormat="1" ht="13.5">
      <c r="A177" s="385">
        <v>1440</v>
      </c>
      <c r="B177" s="296"/>
      <c r="C177" s="297">
        <v>0.41</v>
      </c>
      <c r="D177" s="296"/>
      <c r="E177" s="296">
        <v>0</v>
      </c>
      <c r="F177" s="296"/>
      <c r="G177" s="296">
        <v>0</v>
      </c>
      <c r="H177" s="296"/>
      <c r="I177" s="296">
        <v>0.41</v>
      </c>
      <c r="J177" s="296"/>
      <c r="K177" s="387">
        <v>0.49</v>
      </c>
      <c r="L177" s="296"/>
    </row>
    <row r="178" spans="1:12" s="382" customFormat="1" ht="13.5">
      <c r="A178" s="385"/>
      <c r="B178" s="296">
        <f>ROUND((A179-A177)/2,3)</f>
        <v>10</v>
      </c>
      <c r="C178" s="297"/>
      <c r="D178" s="296">
        <f>(C179+C177)*$B178</f>
        <v>17.1</v>
      </c>
      <c r="E178" s="296"/>
      <c r="F178" s="296">
        <f>(E179+E177)*$B178</f>
        <v>0</v>
      </c>
      <c r="G178" s="296"/>
      <c r="H178" s="296">
        <f>(G179+G177)*$B178</f>
        <v>0</v>
      </c>
      <c r="I178" s="296"/>
      <c r="J178" s="296">
        <f>(I179+I177)*$B178</f>
        <v>17.1</v>
      </c>
      <c r="K178" s="387"/>
      <c r="L178" s="296">
        <f>(K179+K177)*$B178</f>
        <v>9.399999999999999</v>
      </c>
    </row>
    <row r="179" spans="1:12" s="382" customFormat="1" ht="13.5">
      <c r="A179" s="385">
        <v>1460</v>
      </c>
      <c r="B179" s="296"/>
      <c r="C179" s="297">
        <v>1.3</v>
      </c>
      <c r="D179" s="296"/>
      <c r="E179" s="296">
        <v>0</v>
      </c>
      <c r="F179" s="296"/>
      <c r="G179" s="296">
        <v>0</v>
      </c>
      <c r="H179" s="296"/>
      <c r="I179" s="296">
        <v>1.3</v>
      </c>
      <c r="J179" s="296"/>
      <c r="K179" s="387">
        <v>0.45</v>
      </c>
      <c r="L179" s="296"/>
    </row>
    <row r="180" spans="1:12" s="382" customFormat="1" ht="13.5">
      <c r="A180" s="385"/>
      <c r="B180" s="296">
        <f>ROUND((A181-A179)/2,3)</f>
        <v>1.235</v>
      </c>
      <c r="C180" s="297"/>
      <c r="D180" s="296">
        <f>(C181+C179)*$B180</f>
        <v>3.09985</v>
      </c>
      <c r="E180" s="296"/>
      <c r="F180" s="296">
        <f>(E181+E179)*$B180</f>
        <v>0</v>
      </c>
      <c r="G180" s="296"/>
      <c r="H180" s="296">
        <f>(G181+G179)*$B180</f>
        <v>0</v>
      </c>
      <c r="I180" s="296"/>
      <c r="J180" s="296">
        <f>(I181+I179)*$B180</f>
        <v>3.09985</v>
      </c>
      <c r="K180" s="387"/>
      <c r="L180" s="296">
        <f>(K181+K179)*$B180</f>
        <v>1.1609</v>
      </c>
    </row>
    <row r="181" spans="1:12" s="382" customFormat="1" ht="13.5">
      <c r="A181" s="385">
        <v>1462.47</v>
      </c>
      <c r="B181" s="296"/>
      <c r="C181" s="297">
        <v>1.21</v>
      </c>
      <c r="D181" s="296"/>
      <c r="E181" s="296">
        <v>0</v>
      </c>
      <c r="F181" s="296"/>
      <c r="G181" s="296">
        <v>0</v>
      </c>
      <c r="H181" s="296"/>
      <c r="I181" s="296">
        <v>1.21</v>
      </c>
      <c r="J181" s="296"/>
      <c r="K181" s="387">
        <v>0.49</v>
      </c>
      <c r="L181" s="296"/>
    </row>
    <row r="182" spans="1:12" ht="20.25" customHeight="1">
      <c r="A182" s="300" t="s">
        <v>23</v>
      </c>
      <c r="B182" s="301"/>
      <c r="C182" s="295" t="s">
        <v>391</v>
      </c>
      <c r="D182" s="469">
        <f>SUM(D7:D181)</f>
        <v>1259.7246</v>
      </c>
      <c r="E182" s="295" t="s">
        <v>392</v>
      </c>
      <c r="F182" s="469">
        <f>SUM(F7:F181)</f>
        <v>398.54694000000006</v>
      </c>
      <c r="G182" s="295" t="s">
        <v>393</v>
      </c>
      <c r="H182" s="469">
        <f>SUM(H7:H181)</f>
        <v>234.949735</v>
      </c>
      <c r="I182" s="295" t="s">
        <v>394</v>
      </c>
      <c r="J182" s="469">
        <f>SUM(J7:J181)</f>
        <v>626.2279249999999</v>
      </c>
      <c r="K182" s="302" t="s">
        <v>395</v>
      </c>
      <c r="L182" s="469">
        <f>SUM(L7:L181)</f>
        <v>1414.3507000000002</v>
      </c>
    </row>
    <row r="183" spans="5:9" ht="20.25" customHeight="1">
      <c r="E183" s="489">
        <v>0.3164</v>
      </c>
      <c r="F183" s="489"/>
      <c r="G183" s="489">
        <v>0.1865</v>
      </c>
      <c r="H183" s="489"/>
      <c r="I183" s="489">
        <v>0.4971</v>
      </c>
    </row>
    <row r="186" ht="20.25" customHeight="1">
      <c r="J186" s="298"/>
    </row>
  </sheetData>
  <sheetProtection/>
  <mergeCells count="20">
    <mergeCell ref="O144:P144"/>
    <mergeCell ref="R144:S144"/>
    <mergeCell ref="O166:P166"/>
    <mergeCell ref="R166:S166"/>
    <mergeCell ref="O58:P58"/>
    <mergeCell ref="R58:S58"/>
    <mergeCell ref="O90:P90"/>
    <mergeCell ref="R90:S90"/>
    <mergeCell ref="O112:P112"/>
    <mergeCell ref="R112:S112"/>
    <mergeCell ref="O36:P36"/>
    <mergeCell ref="R36:S36"/>
    <mergeCell ref="A4:L4"/>
    <mergeCell ref="A5:A6"/>
    <mergeCell ref="B5:B6"/>
    <mergeCell ref="C5:D5"/>
    <mergeCell ref="E5:F5"/>
    <mergeCell ref="G5:H5"/>
    <mergeCell ref="I5:J5"/>
    <mergeCell ref="K5:L5"/>
  </mergeCells>
  <printOptions/>
  <pageMargins left="0.3937007874015748" right="0.3937007874015748" top="0.7874015748031497" bottom="1.1811023622047245" header="0" footer="0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B1:I40"/>
  <sheetViews>
    <sheetView zoomScalePageLayoutView="0" workbookViewId="0" topLeftCell="A16">
      <selection activeCell="E33" sqref="E33"/>
    </sheetView>
  </sheetViews>
  <sheetFormatPr defaultColWidth="9.140625" defaultRowHeight="12.75"/>
  <cols>
    <col min="1" max="1" width="41.140625" style="29" customWidth="1"/>
    <col min="2" max="2" width="27.140625" style="29" bestFit="1" customWidth="1"/>
    <col min="3" max="3" width="8.421875" style="28" bestFit="1" customWidth="1"/>
    <col min="4" max="4" width="8.28125" style="29" bestFit="1" customWidth="1"/>
    <col min="5" max="5" width="12.140625" style="29" bestFit="1" customWidth="1"/>
    <col min="6" max="8" width="13.7109375" style="29" bestFit="1" customWidth="1"/>
    <col min="9" max="9" width="12.140625" style="29" bestFit="1" customWidth="1"/>
    <col min="10" max="10" width="10.28125" style="29" bestFit="1" customWidth="1"/>
    <col min="11" max="16384" width="9.140625" style="29" customWidth="1"/>
  </cols>
  <sheetData>
    <row r="1" ht="18">
      <c r="B1" s="151" t="str">
        <f>Orçamento!A2</f>
        <v>Obra: Pavimentação Asfáltica da Estrada de Ligação à BR-386</v>
      </c>
    </row>
    <row r="2" spans="2:9" ht="18">
      <c r="B2" s="25" t="s">
        <v>56</v>
      </c>
      <c r="C2" s="26"/>
      <c r="D2" s="25"/>
      <c r="E2" s="25"/>
      <c r="F2" s="25"/>
      <c r="G2" s="25"/>
      <c r="H2" s="25"/>
      <c r="I2" s="25"/>
    </row>
    <row r="3" s="25" customFormat="1" ht="18">
      <c r="C3" s="26"/>
    </row>
    <row r="4" spans="2:9" ht="18">
      <c r="B4" s="25" t="s">
        <v>61</v>
      </c>
      <c r="C4" s="26"/>
      <c r="D4" s="25"/>
      <c r="E4" s="25"/>
      <c r="F4" s="25"/>
      <c r="G4" s="25"/>
      <c r="H4" s="25"/>
      <c r="I4" s="25"/>
    </row>
    <row r="5" spans="2:6" ht="18">
      <c r="B5" s="138" t="s">
        <v>57</v>
      </c>
      <c r="C5" s="139">
        <f>C6+C7</f>
        <v>7</v>
      </c>
      <c r="E5" s="140"/>
      <c r="F5" s="29" t="s">
        <v>251</v>
      </c>
    </row>
    <row r="6" spans="2:3" ht="18">
      <c r="B6" s="141" t="s">
        <v>252</v>
      </c>
      <c r="C6" s="142">
        <v>3.5</v>
      </c>
    </row>
    <row r="7" spans="2:3" ht="18">
      <c r="B7" s="141" t="s">
        <v>253</v>
      </c>
      <c r="C7" s="142">
        <v>3.5</v>
      </c>
    </row>
    <row r="8" spans="2:3" ht="18">
      <c r="B8" s="138" t="s">
        <v>254</v>
      </c>
      <c r="C8" s="139">
        <f>C9+C10</f>
        <v>0.5</v>
      </c>
    </row>
    <row r="9" spans="2:3" ht="18">
      <c r="B9" s="141" t="s">
        <v>252</v>
      </c>
      <c r="C9" s="142">
        <v>0.25</v>
      </c>
    </row>
    <row r="10" spans="2:3" ht="18">
      <c r="B10" s="141" t="s">
        <v>253</v>
      </c>
      <c r="C10" s="142">
        <v>0.25</v>
      </c>
    </row>
    <row r="11" spans="2:3" ht="18">
      <c r="B11" s="138" t="s">
        <v>255</v>
      </c>
      <c r="C11" s="139">
        <f>C12+C13</f>
        <v>2</v>
      </c>
    </row>
    <row r="12" spans="2:3" ht="18">
      <c r="B12" s="141" t="s">
        <v>252</v>
      </c>
      <c r="C12" s="142">
        <v>1</v>
      </c>
    </row>
    <row r="13" spans="2:3" ht="18">
      <c r="B13" s="141" t="s">
        <v>253</v>
      </c>
      <c r="C13" s="142">
        <v>1</v>
      </c>
    </row>
    <row r="14" spans="2:3" ht="18">
      <c r="B14" s="138" t="s">
        <v>256</v>
      </c>
      <c r="C14" s="139">
        <f>C15+C16</f>
        <v>0</v>
      </c>
    </row>
    <row r="15" spans="2:3" ht="18">
      <c r="B15" s="141" t="s">
        <v>252</v>
      </c>
      <c r="C15" s="142">
        <v>0</v>
      </c>
    </row>
    <row r="16" spans="2:3" ht="18">
      <c r="B16" s="143" t="s">
        <v>253</v>
      </c>
      <c r="C16" s="144">
        <v>0</v>
      </c>
    </row>
    <row r="17" spans="2:3" ht="18">
      <c r="B17" s="145"/>
      <c r="C17" s="146"/>
    </row>
    <row r="18" spans="2:3" ht="18">
      <c r="B18" s="25" t="s">
        <v>257</v>
      </c>
      <c r="C18" s="146"/>
    </row>
    <row r="19" spans="2:3" ht="18">
      <c r="B19" s="147" t="s">
        <v>58</v>
      </c>
      <c r="C19" s="148">
        <v>0.03</v>
      </c>
    </row>
    <row r="20" spans="2:3" ht="18">
      <c r="B20" s="149" t="s">
        <v>75</v>
      </c>
      <c r="C20" s="144">
        <v>0.2</v>
      </c>
    </row>
    <row r="21" spans="2:3" ht="18">
      <c r="B21" s="147" t="s">
        <v>59</v>
      </c>
      <c r="C21" s="148">
        <v>0.15</v>
      </c>
    </row>
    <row r="22" spans="2:3" ht="18">
      <c r="B22" s="149" t="s">
        <v>60</v>
      </c>
      <c r="C22" s="144">
        <v>0.05</v>
      </c>
    </row>
    <row r="24" ht="18">
      <c r="B24" s="25" t="s">
        <v>61</v>
      </c>
    </row>
    <row r="25" spans="2:5" ht="18">
      <c r="B25" s="27" t="s">
        <v>117</v>
      </c>
      <c r="C25" s="30">
        <f>C26+C27</f>
        <v>10.55</v>
      </c>
      <c r="E25" s="179"/>
    </row>
    <row r="26" spans="2:3" ht="18">
      <c r="B26" s="27" t="s">
        <v>252</v>
      </c>
      <c r="C26" s="30">
        <f>IF(C15&gt;0,C6+C15,C28/2+C12)</f>
        <v>5.275</v>
      </c>
    </row>
    <row r="27" spans="2:6" ht="18">
      <c r="B27" s="27" t="s">
        <v>253</v>
      </c>
      <c r="C27" s="30">
        <f>IF(C16&gt;0,C7+C16,C28/2+C13)</f>
        <v>5.275</v>
      </c>
      <c r="E27" s="283"/>
      <c r="F27" s="152"/>
    </row>
    <row r="28" spans="2:8" ht="18">
      <c r="B28" s="27" t="s">
        <v>62</v>
      </c>
      <c r="C28" s="30">
        <f>ROUND(C32+(C20*1.5*2)+(C21*1.5*2),2)</f>
        <v>8.55</v>
      </c>
      <c r="D28" s="152"/>
      <c r="E28" s="280"/>
      <c r="F28" s="152"/>
      <c r="G28" s="278"/>
      <c r="H28" s="279"/>
    </row>
    <row r="29" spans="2:8" ht="18">
      <c r="B29" s="27" t="s">
        <v>75</v>
      </c>
      <c r="C29" s="30">
        <f>IF(C20&gt;0,ROUND(C32+(C21*1.5*2)+(C20*1.5),2),0)</f>
        <v>8.25</v>
      </c>
      <c r="D29" s="152"/>
      <c r="E29" s="278"/>
      <c r="G29" s="278"/>
      <c r="H29" s="279"/>
    </row>
    <row r="30" spans="2:5" ht="18">
      <c r="B30" s="27" t="s">
        <v>58</v>
      </c>
      <c r="C30" s="30">
        <f>IF(C19&gt;0,ROUND(C32+C21*1.5*2,2),0)</f>
        <v>7.95</v>
      </c>
      <c r="D30" s="152"/>
      <c r="E30" s="278"/>
    </row>
    <row r="31" spans="2:8" ht="18">
      <c r="B31" s="27" t="s">
        <v>59</v>
      </c>
      <c r="C31" s="30">
        <f>ROUND(C32+C21*1.5,2)</f>
        <v>7.73</v>
      </c>
      <c r="D31" s="152"/>
      <c r="E31" s="278"/>
      <c r="G31" s="278"/>
      <c r="H31" s="279"/>
    </row>
    <row r="32" spans="2:6" ht="18">
      <c r="B32" s="27" t="s">
        <v>63</v>
      </c>
      <c r="C32" s="30">
        <f>ROUND(C5+C8,2)</f>
        <v>7.5</v>
      </c>
      <c r="D32" s="152"/>
      <c r="F32" s="152"/>
    </row>
    <row r="33" spans="2:3" ht="18">
      <c r="B33" s="27" t="s">
        <v>64</v>
      </c>
      <c r="C33" s="30">
        <f>C5</f>
        <v>7</v>
      </c>
    </row>
    <row r="34" spans="2:8" ht="18">
      <c r="B34" s="27" t="s">
        <v>60</v>
      </c>
      <c r="C34" s="30">
        <f>C5</f>
        <v>7</v>
      </c>
      <c r="D34" s="152"/>
      <c r="E34" s="280"/>
      <c r="G34" s="278"/>
      <c r="H34" s="279"/>
    </row>
    <row r="35" ht="18">
      <c r="E35" s="283"/>
    </row>
    <row r="36" spans="4:5" ht="18">
      <c r="D36" s="152"/>
      <c r="E36" s="281"/>
    </row>
    <row r="37" ht="18">
      <c r="I37" s="282"/>
    </row>
    <row r="40" ht="18">
      <c r="D40" s="152"/>
    </row>
  </sheetData>
  <sheetProtection/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535"/>
  <sheetViews>
    <sheetView showGridLines="0" view="pageBreakPreview" zoomScale="70" zoomScaleNormal="70" zoomScaleSheetLayoutView="70" zoomScalePageLayoutView="0" workbookViewId="0" topLeftCell="C1">
      <selection activeCell="M37" sqref="M37"/>
    </sheetView>
  </sheetViews>
  <sheetFormatPr defaultColWidth="9.140625" defaultRowHeight="12.75"/>
  <cols>
    <col min="1" max="1" width="10.28125" style="0" customWidth="1"/>
    <col min="2" max="2" width="12.8515625" style="0" bestFit="1" customWidth="1"/>
    <col min="3" max="3" width="14.8515625" style="0" customWidth="1"/>
    <col min="4" max="4" width="18.00390625" style="0" customWidth="1"/>
    <col min="5" max="5" width="19.8515625" style="0" customWidth="1"/>
    <col min="6" max="6" width="19.421875" style="0" customWidth="1"/>
    <col min="7" max="7" width="8.28125" style="0" bestFit="1" customWidth="1"/>
    <col min="8" max="8" width="10.7109375" style="0" bestFit="1" customWidth="1"/>
    <col min="9" max="9" width="8.28125" style="0" customWidth="1"/>
    <col min="10" max="10" width="10.7109375" style="0" bestFit="1" customWidth="1"/>
    <col min="12" max="12" width="27.7109375" style="0" bestFit="1" customWidth="1"/>
    <col min="13" max="13" width="13.00390625" style="0" bestFit="1" customWidth="1"/>
    <col min="14" max="14" width="15.28125" style="0" bestFit="1" customWidth="1"/>
    <col min="16" max="16" width="19.7109375" style="0" customWidth="1"/>
    <col min="17" max="17" width="15.7109375" style="0" customWidth="1"/>
    <col min="18" max="18" width="13.421875" style="0" customWidth="1"/>
    <col min="19" max="19" width="11.7109375" style="0" bestFit="1" customWidth="1"/>
    <col min="20" max="21" width="18.28125" style="0" customWidth="1"/>
    <col min="22" max="22" width="17.28125" style="0" customWidth="1"/>
    <col min="23" max="23" width="10.140625" style="0" bestFit="1" customWidth="1"/>
  </cols>
  <sheetData>
    <row r="1" spans="1:21" s="388" customFormat="1" ht="30" customHeight="1">
      <c r="A1" s="587" t="s">
        <v>437</v>
      </c>
      <c r="B1" s="587" t="s">
        <v>477</v>
      </c>
      <c r="C1" s="598" t="s">
        <v>438</v>
      </c>
      <c r="D1" s="599"/>
      <c r="E1" s="584" t="s">
        <v>439</v>
      </c>
      <c r="F1" s="584"/>
      <c r="G1" s="584" t="s">
        <v>440</v>
      </c>
      <c r="H1" s="584"/>
      <c r="I1" s="584"/>
      <c r="J1" s="584"/>
      <c r="K1" s="389"/>
      <c r="L1" s="393" t="s">
        <v>446</v>
      </c>
      <c r="M1" s="393" t="s">
        <v>383</v>
      </c>
      <c r="N1" s="393" t="s">
        <v>481</v>
      </c>
      <c r="O1" s="389"/>
      <c r="P1" s="590" t="s">
        <v>447</v>
      </c>
      <c r="Q1" s="591"/>
      <c r="R1" s="591"/>
      <c r="S1" s="591"/>
      <c r="T1" s="592"/>
      <c r="U1" s="389"/>
    </row>
    <row r="2" spans="1:21" s="388" customFormat="1" ht="30" customHeight="1">
      <c r="A2" s="588"/>
      <c r="B2" s="588"/>
      <c r="C2" s="585" t="s">
        <v>441</v>
      </c>
      <c r="D2" s="585" t="s">
        <v>442</v>
      </c>
      <c r="E2" s="585" t="s">
        <v>476</v>
      </c>
      <c r="F2" s="585" t="s">
        <v>443</v>
      </c>
      <c r="G2" s="585" t="s">
        <v>444</v>
      </c>
      <c r="H2" s="585"/>
      <c r="I2" s="595" t="s">
        <v>445</v>
      </c>
      <c r="J2" s="596"/>
      <c r="K2" s="390"/>
      <c r="L2" s="396">
        <v>200</v>
      </c>
      <c r="M2" s="396">
        <f>SUMIF($C$4:$C$49,"=200",$D$4:$D$49)</f>
        <v>0</v>
      </c>
      <c r="N2" s="396">
        <f>COUNTIF($C$4:$C$49,200)</f>
        <v>0</v>
      </c>
      <c r="O2" s="389"/>
      <c r="P2" s="397" t="s">
        <v>449</v>
      </c>
      <c r="Q2" s="397" t="s">
        <v>450</v>
      </c>
      <c r="R2" s="397" t="s">
        <v>451</v>
      </c>
      <c r="S2" s="397" t="s">
        <v>384</v>
      </c>
      <c r="T2" s="398" t="s">
        <v>452</v>
      </c>
      <c r="U2" s="389"/>
    </row>
    <row r="3" spans="1:21" s="388" customFormat="1" ht="30" customHeight="1">
      <c r="A3" s="589"/>
      <c r="B3" s="589"/>
      <c r="C3" s="586"/>
      <c r="D3" s="586"/>
      <c r="E3" s="586"/>
      <c r="F3" s="586"/>
      <c r="G3" s="391" t="s">
        <v>2</v>
      </c>
      <c r="H3" s="392" t="s">
        <v>385</v>
      </c>
      <c r="I3" s="392" t="s">
        <v>2</v>
      </c>
      <c r="J3" s="392" t="s">
        <v>385</v>
      </c>
      <c r="K3" s="390"/>
      <c r="L3" s="399">
        <v>300</v>
      </c>
      <c r="M3" s="396">
        <f>SUMIF($C$4:$C$49,"=300",$D$4:$D$49)</f>
        <v>0</v>
      </c>
      <c r="N3" s="396">
        <f>COUNTIF($C$4:$C$49,300)</f>
        <v>0</v>
      </c>
      <c r="P3" s="399">
        <v>400</v>
      </c>
      <c r="Q3" s="399">
        <v>1.42</v>
      </c>
      <c r="R3" s="399">
        <v>1.32</v>
      </c>
      <c r="S3" s="399">
        <f>R3*Q3</f>
        <v>1.8744</v>
      </c>
      <c r="T3" s="419">
        <f>PI()*(((P3/1000)^2)/4)</f>
        <v>0.12566370614359174</v>
      </c>
      <c r="U3" s="394"/>
    </row>
    <row r="4" spans="1:21" s="388" customFormat="1" ht="30" customHeight="1">
      <c r="A4" s="404">
        <v>785</v>
      </c>
      <c r="B4" s="404" t="s">
        <v>480</v>
      </c>
      <c r="C4" s="399">
        <v>1000</v>
      </c>
      <c r="D4" s="399">
        <v>20</v>
      </c>
      <c r="E4" s="420">
        <v>0</v>
      </c>
      <c r="F4" s="420">
        <v>0</v>
      </c>
      <c r="G4" s="420">
        <v>0</v>
      </c>
      <c r="H4" s="399" t="s">
        <v>448</v>
      </c>
      <c r="I4" s="420">
        <v>0</v>
      </c>
      <c r="J4" s="399" t="s">
        <v>448</v>
      </c>
      <c r="K4" s="395"/>
      <c r="L4" s="399">
        <v>400</v>
      </c>
      <c r="M4" s="396">
        <f>SUMIF($C$4:$C$49,"=400",$D$4:$D$49)</f>
        <v>30</v>
      </c>
      <c r="N4" s="396">
        <f>COUNTIF($C$4:$C$49,400)</f>
        <v>3</v>
      </c>
      <c r="P4" s="399">
        <v>600</v>
      </c>
      <c r="Q4" s="399">
        <v>1.66</v>
      </c>
      <c r="R4" s="399">
        <v>1.61</v>
      </c>
      <c r="S4" s="399">
        <f>R4*Q4</f>
        <v>2.6726</v>
      </c>
      <c r="T4" s="419">
        <f>PI()*(((P4/1000)^2)/4)</f>
        <v>0.2827433388230814</v>
      </c>
      <c r="U4" s="390"/>
    </row>
    <row r="5" spans="1:21" s="388" customFormat="1" ht="30" customHeight="1">
      <c r="A5" s="404">
        <v>950</v>
      </c>
      <c r="B5" s="404" t="s">
        <v>480</v>
      </c>
      <c r="C5" s="399">
        <v>1000</v>
      </c>
      <c r="D5" s="399">
        <v>22</v>
      </c>
      <c r="E5" s="420">
        <v>0</v>
      </c>
      <c r="F5" s="420">
        <v>0</v>
      </c>
      <c r="G5" s="420">
        <v>0</v>
      </c>
      <c r="H5" s="399" t="s">
        <v>448</v>
      </c>
      <c r="I5" s="420">
        <v>0</v>
      </c>
      <c r="J5" s="399" t="s">
        <v>448</v>
      </c>
      <c r="K5" s="395"/>
      <c r="L5" s="399">
        <v>500</v>
      </c>
      <c r="M5" s="396">
        <f>SUMIF($C$4:$C$49,"=500",$D$4:$D$49)</f>
        <v>0</v>
      </c>
      <c r="N5" s="396">
        <f>COUNTIF($C$4:$C$49,500)</f>
        <v>0</v>
      </c>
      <c r="P5" s="399">
        <v>800</v>
      </c>
      <c r="Q5" s="399">
        <v>1.9</v>
      </c>
      <c r="R5" s="399">
        <v>1.85</v>
      </c>
      <c r="S5" s="399">
        <f>R5*Q5</f>
        <v>3.515</v>
      </c>
      <c r="T5" s="419">
        <f>PI()*(((P5/1000)^2)/4)</f>
        <v>0.5026548245743669</v>
      </c>
      <c r="U5" s="395"/>
    </row>
    <row r="6" spans="1:21" s="388" customFormat="1" ht="30" customHeight="1">
      <c r="A6" s="404">
        <v>950</v>
      </c>
      <c r="B6" s="404" t="s">
        <v>480</v>
      </c>
      <c r="C6" s="399">
        <v>1000</v>
      </c>
      <c r="D6" s="399">
        <v>22</v>
      </c>
      <c r="E6" s="420">
        <v>0</v>
      </c>
      <c r="F6" s="420">
        <v>0</v>
      </c>
      <c r="G6" s="420">
        <v>0</v>
      </c>
      <c r="H6" s="399" t="s">
        <v>448</v>
      </c>
      <c r="I6" s="420">
        <v>0</v>
      </c>
      <c r="J6" s="399" t="s">
        <v>448</v>
      </c>
      <c r="K6" s="395"/>
      <c r="L6" s="399">
        <v>600</v>
      </c>
      <c r="M6" s="396">
        <f>SUMIF($C$4:$C$49,"=600",$D$4:$D$49)</f>
        <v>0</v>
      </c>
      <c r="N6" s="396">
        <f>COUNTIF($C$4:$C$49,600)</f>
        <v>0</v>
      </c>
      <c r="P6" s="399">
        <v>1000</v>
      </c>
      <c r="Q6" s="399">
        <v>2.14</v>
      </c>
      <c r="R6" s="399">
        <v>2.09</v>
      </c>
      <c r="S6" s="399">
        <f>R6*Q6</f>
        <v>4.4726</v>
      </c>
      <c r="T6" s="419">
        <f>PI()*(((P6/1000)^2)/4)</f>
        <v>0.7853981633974483</v>
      </c>
      <c r="U6" s="395"/>
    </row>
    <row r="7" spans="1:21" s="388" customFormat="1" ht="30" customHeight="1">
      <c r="A7" s="404">
        <v>1330</v>
      </c>
      <c r="B7" s="404" t="s">
        <v>480</v>
      </c>
      <c r="C7" s="399">
        <v>400</v>
      </c>
      <c r="D7" s="399">
        <v>19</v>
      </c>
      <c r="E7" s="399">
        <v>800</v>
      </c>
      <c r="F7" s="399">
        <v>20</v>
      </c>
      <c r="G7" s="399">
        <v>1</v>
      </c>
      <c r="H7" s="399" t="s">
        <v>448</v>
      </c>
      <c r="I7" s="399">
        <v>1</v>
      </c>
      <c r="J7" s="399" t="s">
        <v>448</v>
      </c>
      <c r="K7" s="395"/>
      <c r="L7" s="399">
        <v>800</v>
      </c>
      <c r="M7" s="396">
        <f>SUMIF($C$4:$C$49,"=800",$D$4:$D$49)</f>
        <v>0</v>
      </c>
      <c r="N7" s="396">
        <f>COUNTIF($C$4:$C$49,800)</f>
        <v>0</v>
      </c>
      <c r="P7" s="399">
        <v>1200</v>
      </c>
      <c r="Q7" s="399">
        <v>2.36</v>
      </c>
      <c r="R7" s="399">
        <v>2.31</v>
      </c>
      <c r="S7" s="399">
        <f>R7*Q7</f>
        <v>5.4516</v>
      </c>
      <c r="T7" s="419">
        <f>PI()*(((P7/1000)^2)/4)</f>
        <v>1.1309733552923256</v>
      </c>
      <c r="U7" s="395"/>
    </row>
    <row r="8" spans="1:25" s="388" customFormat="1" ht="30" customHeight="1">
      <c r="A8" s="404"/>
      <c r="B8" s="404"/>
      <c r="C8" s="399"/>
      <c r="D8" s="399"/>
      <c r="E8" s="399"/>
      <c r="F8" s="399"/>
      <c r="G8" s="399"/>
      <c r="H8" s="399"/>
      <c r="I8" s="399"/>
      <c r="J8" s="399"/>
      <c r="K8" s="395"/>
      <c r="L8" s="399">
        <v>1000</v>
      </c>
      <c r="M8" s="396">
        <f>SUMIF($C$4:$C$49,"=1000",$D$4:$D$49)</f>
        <v>64</v>
      </c>
      <c r="N8" s="396">
        <f>COUNTIF($C$4:$C$49,1000)</f>
        <v>3</v>
      </c>
      <c r="U8" s="395"/>
      <c r="X8" s="400"/>
      <c r="Y8" s="400"/>
    </row>
    <row r="9" spans="1:25" s="388" customFormat="1" ht="30" customHeight="1">
      <c r="A9" s="414"/>
      <c r="B9" s="414"/>
      <c r="C9" s="414"/>
      <c r="D9" s="414"/>
      <c r="E9" s="414"/>
      <c r="F9" s="415"/>
      <c r="G9" s="415"/>
      <c r="H9" s="415"/>
      <c r="I9" s="415"/>
      <c r="J9" s="415"/>
      <c r="K9" s="395"/>
      <c r="L9" s="399">
        <v>1200</v>
      </c>
      <c r="M9" s="396">
        <f>SUMIF($C$4:$C$49,"=1200",$D$4:$D$49)</f>
        <v>0</v>
      </c>
      <c r="N9" s="396">
        <f>COUNTIF($C$4:$C$49,1200)</f>
        <v>0</v>
      </c>
      <c r="P9" s="467" t="s">
        <v>385</v>
      </c>
      <c r="Q9" s="467" t="s">
        <v>457</v>
      </c>
      <c r="R9" s="467" t="s">
        <v>458</v>
      </c>
      <c r="S9" s="467" t="s">
        <v>456</v>
      </c>
      <c r="T9" s="467" t="s">
        <v>459</v>
      </c>
      <c r="U9" s="467" t="s">
        <v>460</v>
      </c>
      <c r="V9" s="480" t="s">
        <v>461</v>
      </c>
      <c r="W9" s="481"/>
      <c r="X9" s="400"/>
      <c r="Y9" s="400"/>
    </row>
    <row r="10" spans="1:25" s="388" customFormat="1" ht="30" customHeight="1">
      <c r="A10" s="414"/>
      <c r="B10" s="414"/>
      <c r="C10" s="414"/>
      <c r="D10" s="416"/>
      <c r="E10" s="416"/>
      <c r="F10" s="416"/>
      <c r="G10" s="415"/>
      <c r="H10" s="415"/>
      <c r="I10" s="415"/>
      <c r="J10" s="415"/>
      <c r="K10" s="402"/>
      <c r="L10" s="403" t="s">
        <v>41</v>
      </c>
      <c r="M10" s="403">
        <f>SUM(M2:M9)</f>
        <v>94</v>
      </c>
      <c r="N10" s="403">
        <f>SUM(N2:N9)</f>
        <v>6</v>
      </c>
      <c r="P10" s="597" t="s">
        <v>524</v>
      </c>
      <c r="Q10" s="434">
        <v>235</v>
      </c>
      <c r="R10" s="434">
        <v>1462.47</v>
      </c>
      <c r="S10" s="405" t="s">
        <v>463</v>
      </c>
      <c r="T10" s="405">
        <f>R10-Q10</f>
        <v>1227.47</v>
      </c>
      <c r="U10" s="405">
        <v>1</v>
      </c>
      <c r="V10" s="405">
        <v>0.8</v>
      </c>
      <c r="W10" s="481"/>
      <c r="X10" s="400"/>
      <c r="Y10" s="400"/>
    </row>
    <row r="11" spans="1:25" s="388" customFormat="1" ht="30" customHeight="1">
      <c r="A11" s="414"/>
      <c r="B11" s="414"/>
      <c r="C11" s="414"/>
      <c r="D11" s="416"/>
      <c r="E11" s="416"/>
      <c r="F11" s="416"/>
      <c r="G11" s="416"/>
      <c r="H11" s="415"/>
      <c r="I11" s="415"/>
      <c r="J11" s="415"/>
      <c r="K11" s="402"/>
      <c r="P11" s="597"/>
      <c r="Q11" s="597" t="s">
        <v>462</v>
      </c>
      <c r="R11" s="597"/>
      <c r="S11" s="467" t="s">
        <v>521</v>
      </c>
      <c r="T11" s="467" t="s">
        <v>522</v>
      </c>
      <c r="U11" s="467" t="s">
        <v>523</v>
      </c>
      <c r="V11" s="467" t="s">
        <v>41</v>
      </c>
      <c r="W11" s="483"/>
      <c r="X11" s="401"/>
      <c r="Y11" s="401"/>
    </row>
    <row r="12" spans="1:25" s="388" customFormat="1" ht="30" customHeight="1">
      <c r="A12" s="414"/>
      <c r="B12" s="414"/>
      <c r="C12" s="414"/>
      <c r="D12" s="416"/>
      <c r="E12" s="416"/>
      <c r="F12" s="416"/>
      <c r="G12" s="416"/>
      <c r="H12" s="415"/>
      <c r="I12" s="415"/>
      <c r="J12" s="415"/>
      <c r="K12" s="402"/>
      <c r="P12" s="597"/>
      <c r="Q12" s="597"/>
      <c r="R12" s="597"/>
      <c r="S12" s="405">
        <f>V12-U12-T12</f>
        <v>1401.272</v>
      </c>
      <c r="T12" s="399">
        <f>ROUND($V$12*Volumes!G183,2)</f>
        <v>366.28</v>
      </c>
      <c r="U12" s="399">
        <f>ROUND($V$12*0.1,2)</f>
        <v>196.4</v>
      </c>
      <c r="V12" s="405">
        <f>ROUND($V$10*$T$10*$U$10*2,4)</f>
        <v>1963.952</v>
      </c>
      <c r="W12" s="481"/>
      <c r="X12" s="401"/>
      <c r="Y12" s="401"/>
    </row>
    <row r="13" spans="1:25" s="388" customFormat="1" ht="30" customHeight="1">
      <c r="A13" s="597" t="s">
        <v>474</v>
      </c>
      <c r="B13" s="597"/>
      <c r="C13" s="597"/>
      <c r="D13" s="597"/>
      <c r="E13" s="597"/>
      <c r="F13" s="597"/>
      <c r="G13" s="597"/>
      <c r="H13" s="597"/>
      <c r="I13" s="597"/>
      <c r="J13" s="597"/>
      <c r="K13" s="402"/>
      <c r="L13" s="590" t="s">
        <v>453</v>
      </c>
      <c r="M13" s="591"/>
      <c r="N13" s="592"/>
      <c r="P13" s="481"/>
      <c r="Q13" s="481"/>
      <c r="R13" s="481"/>
      <c r="S13" s="482"/>
      <c r="T13" s="481"/>
      <c r="U13" s="481"/>
      <c r="V13" s="481"/>
      <c r="W13" s="481"/>
      <c r="X13" s="401"/>
      <c r="Y13" s="401"/>
    </row>
    <row r="14" spans="1:25" s="388" customFormat="1" ht="30" customHeight="1">
      <c r="A14" s="404">
        <v>362</v>
      </c>
      <c r="B14" s="404" t="s">
        <v>409</v>
      </c>
      <c r="C14" s="420">
        <v>0</v>
      </c>
      <c r="D14" s="420">
        <v>0</v>
      </c>
      <c r="E14" s="399">
        <v>400</v>
      </c>
      <c r="F14" s="405">
        <v>20</v>
      </c>
      <c r="G14" s="405">
        <v>1</v>
      </c>
      <c r="H14" s="405" t="s">
        <v>475</v>
      </c>
      <c r="I14" s="405">
        <v>1</v>
      </c>
      <c r="J14" s="405" t="s">
        <v>475</v>
      </c>
      <c r="K14" s="402"/>
      <c r="L14" s="403" t="s">
        <v>441</v>
      </c>
      <c r="M14" s="590" t="s">
        <v>454</v>
      </c>
      <c r="N14" s="592"/>
      <c r="P14" s="481"/>
      <c r="Q14" s="481"/>
      <c r="R14" s="481"/>
      <c r="S14" s="433"/>
      <c r="T14" s="481"/>
      <c r="U14" s="481"/>
      <c r="V14" s="481"/>
      <c r="W14" s="481"/>
      <c r="X14" s="401"/>
      <c r="Y14" s="401"/>
    </row>
    <row r="15" spans="1:25" s="388" customFormat="1" ht="30" customHeight="1">
      <c r="A15" s="404">
        <v>426</v>
      </c>
      <c r="B15" s="404" t="s">
        <v>410</v>
      </c>
      <c r="C15" s="399">
        <v>400</v>
      </c>
      <c r="D15" s="399">
        <v>7</v>
      </c>
      <c r="E15" s="399">
        <v>400</v>
      </c>
      <c r="F15" s="405">
        <v>0</v>
      </c>
      <c r="G15" s="405">
        <v>1</v>
      </c>
      <c r="H15" s="405" t="s">
        <v>475</v>
      </c>
      <c r="I15" s="405">
        <v>1</v>
      </c>
      <c r="J15" s="405" t="s">
        <v>475</v>
      </c>
      <c r="K15" s="402"/>
      <c r="L15" s="399">
        <v>800</v>
      </c>
      <c r="M15" s="593">
        <f>COUNTIF($E$4:$E$49,"=800")*2</f>
        <v>2</v>
      </c>
      <c r="N15" s="594"/>
      <c r="X15" s="401"/>
      <c r="Y15" s="401"/>
    </row>
    <row r="16" spans="1:25" s="388" customFormat="1" ht="30" customHeight="1">
      <c r="A16" s="404">
        <v>430</v>
      </c>
      <c r="B16" s="404" t="s">
        <v>409</v>
      </c>
      <c r="C16" s="399">
        <v>400</v>
      </c>
      <c r="D16" s="399">
        <v>4</v>
      </c>
      <c r="E16" s="399">
        <v>400</v>
      </c>
      <c r="F16" s="405">
        <v>0</v>
      </c>
      <c r="G16" s="405">
        <v>1</v>
      </c>
      <c r="H16" s="405" t="s">
        <v>475</v>
      </c>
      <c r="I16" s="405">
        <v>1</v>
      </c>
      <c r="J16" s="405" t="s">
        <v>475</v>
      </c>
      <c r="K16" s="402"/>
      <c r="L16" s="399">
        <v>1000</v>
      </c>
      <c r="M16" s="593">
        <f>COUNTIF($E$4:$E$49,"=1000")*2</f>
        <v>0</v>
      </c>
      <c r="N16" s="594"/>
      <c r="X16" s="401"/>
      <c r="Y16" s="401"/>
    </row>
    <row r="17" spans="1:14" s="388" customFormat="1" ht="30" customHeight="1">
      <c r="A17" s="404">
        <v>622</v>
      </c>
      <c r="B17" s="404" t="s">
        <v>410</v>
      </c>
      <c r="C17" s="420">
        <v>0</v>
      </c>
      <c r="D17" s="420">
        <v>0</v>
      </c>
      <c r="E17" s="399">
        <v>600</v>
      </c>
      <c r="F17" s="405">
        <v>10</v>
      </c>
      <c r="G17" s="405">
        <v>1</v>
      </c>
      <c r="H17" s="405" t="s">
        <v>475</v>
      </c>
      <c r="I17" s="405">
        <v>1</v>
      </c>
      <c r="J17" s="405" t="s">
        <v>475</v>
      </c>
      <c r="K17" s="402"/>
      <c r="L17" s="399">
        <v>1200</v>
      </c>
      <c r="M17" s="593">
        <f>COUNTIF($E$4:$E$49,"=1200")*2</f>
        <v>0</v>
      </c>
      <c r="N17" s="594"/>
    </row>
    <row r="18" spans="1:14" s="388" customFormat="1" ht="30" customHeight="1">
      <c r="A18" s="421">
        <v>695</v>
      </c>
      <c r="B18" s="421" t="s">
        <v>410</v>
      </c>
      <c r="C18" s="422">
        <v>0</v>
      </c>
      <c r="D18" s="422">
        <v>0</v>
      </c>
      <c r="E18" s="423">
        <v>600</v>
      </c>
      <c r="F18" s="424">
        <v>20</v>
      </c>
      <c r="G18" s="424">
        <v>1</v>
      </c>
      <c r="H18" s="424" t="s">
        <v>475</v>
      </c>
      <c r="I18" s="424">
        <v>1</v>
      </c>
      <c r="J18" s="424" t="s">
        <v>475</v>
      </c>
      <c r="K18" s="402"/>
      <c r="L18" s="403" t="s">
        <v>41</v>
      </c>
      <c r="M18" s="597">
        <f>SUM(M15:N17)</f>
        <v>2</v>
      </c>
      <c r="N18" s="597"/>
    </row>
    <row r="19" spans="1:11" s="388" customFormat="1" ht="30" customHeight="1">
      <c r="A19" s="421">
        <v>765</v>
      </c>
      <c r="B19" s="421" t="s">
        <v>409</v>
      </c>
      <c r="C19" s="422">
        <v>0</v>
      </c>
      <c r="D19" s="422">
        <v>0</v>
      </c>
      <c r="E19" s="423">
        <v>600</v>
      </c>
      <c r="F19" s="424">
        <v>11</v>
      </c>
      <c r="G19" s="424">
        <v>1</v>
      </c>
      <c r="H19" s="424" t="s">
        <v>475</v>
      </c>
      <c r="I19" s="424">
        <v>1</v>
      </c>
      <c r="J19" s="424" t="s">
        <v>475</v>
      </c>
      <c r="K19" s="402"/>
    </row>
    <row r="20" spans="1:20" ht="30" customHeight="1">
      <c r="A20" s="421">
        <v>782</v>
      </c>
      <c r="B20" s="421" t="s">
        <v>410</v>
      </c>
      <c r="C20" s="422">
        <v>0</v>
      </c>
      <c r="D20" s="422">
        <v>0</v>
      </c>
      <c r="E20" s="423">
        <v>600</v>
      </c>
      <c r="F20" s="425">
        <v>19</v>
      </c>
      <c r="G20" s="424">
        <v>1</v>
      </c>
      <c r="H20" s="424" t="s">
        <v>475</v>
      </c>
      <c r="I20" s="424">
        <v>1</v>
      </c>
      <c r="J20" s="424" t="s">
        <v>475</v>
      </c>
      <c r="L20" s="590" t="s">
        <v>479</v>
      </c>
      <c r="M20" s="591"/>
      <c r="N20" s="592"/>
      <c r="S20" s="418"/>
      <c r="T20" s="426"/>
    </row>
    <row r="21" spans="1:20" ht="30" customHeight="1">
      <c r="A21" s="404">
        <v>860</v>
      </c>
      <c r="B21" s="421" t="s">
        <v>409</v>
      </c>
      <c r="C21" s="422">
        <v>0</v>
      </c>
      <c r="D21" s="422">
        <v>0</v>
      </c>
      <c r="E21" s="423">
        <v>600</v>
      </c>
      <c r="F21" s="425">
        <v>8</v>
      </c>
      <c r="G21" s="424">
        <v>1</v>
      </c>
      <c r="H21" s="424" t="s">
        <v>475</v>
      </c>
      <c r="I21" s="424">
        <v>1</v>
      </c>
      <c r="J21" s="424" t="s">
        <v>475</v>
      </c>
      <c r="L21" s="403" t="s">
        <v>441</v>
      </c>
      <c r="M21" s="590" t="s">
        <v>454</v>
      </c>
      <c r="N21" s="592"/>
      <c r="S21" s="418"/>
      <c r="T21" s="426"/>
    </row>
    <row r="22" spans="1:20" ht="30" customHeight="1">
      <c r="A22" s="404">
        <v>910</v>
      </c>
      <c r="B22" s="421" t="s">
        <v>410</v>
      </c>
      <c r="C22" s="422">
        <v>0</v>
      </c>
      <c r="D22" s="422">
        <v>0</v>
      </c>
      <c r="E22" s="423">
        <v>400</v>
      </c>
      <c r="F22" s="425">
        <v>10</v>
      </c>
      <c r="G22" s="424">
        <v>1</v>
      </c>
      <c r="H22" s="424" t="s">
        <v>475</v>
      </c>
      <c r="I22" s="424">
        <v>1</v>
      </c>
      <c r="J22" s="424" t="s">
        <v>475</v>
      </c>
      <c r="K22" s="417"/>
      <c r="L22" s="399">
        <v>400</v>
      </c>
      <c r="M22" s="593">
        <f>COUNTIF($E$4:$E$49,"=400")*2</f>
        <v>18</v>
      </c>
      <c r="N22" s="594"/>
      <c r="P22" s="426"/>
      <c r="Q22" s="426"/>
      <c r="R22" s="426"/>
      <c r="S22" s="418"/>
      <c r="T22" s="426"/>
    </row>
    <row r="23" spans="1:20" ht="30" customHeight="1">
      <c r="A23" s="404">
        <v>940</v>
      </c>
      <c r="B23" s="421" t="s">
        <v>409</v>
      </c>
      <c r="C23" s="422">
        <v>0</v>
      </c>
      <c r="D23" s="422">
        <v>0</v>
      </c>
      <c r="E23" s="423">
        <v>600</v>
      </c>
      <c r="F23" s="425">
        <v>12</v>
      </c>
      <c r="G23" s="424">
        <v>1</v>
      </c>
      <c r="H23" s="424" t="s">
        <v>475</v>
      </c>
      <c r="I23" s="424">
        <v>1</v>
      </c>
      <c r="J23" s="424" t="s">
        <v>475</v>
      </c>
      <c r="K23" s="417"/>
      <c r="L23" s="399">
        <v>600</v>
      </c>
      <c r="M23" s="593">
        <f>COUNTIF($E$4:$E$49,"=600")*2</f>
        <v>14</v>
      </c>
      <c r="N23" s="594"/>
      <c r="S23" s="418"/>
      <c r="T23" s="426"/>
    </row>
    <row r="24" spans="1:14" ht="30" customHeight="1">
      <c r="A24" s="404">
        <v>955</v>
      </c>
      <c r="B24" s="421" t="s">
        <v>409</v>
      </c>
      <c r="C24" s="422">
        <v>0</v>
      </c>
      <c r="D24" s="422">
        <v>0</v>
      </c>
      <c r="E24" s="423">
        <v>600</v>
      </c>
      <c r="F24" s="425">
        <v>10</v>
      </c>
      <c r="G24" s="424">
        <v>1</v>
      </c>
      <c r="H24" s="424" t="s">
        <v>475</v>
      </c>
      <c r="I24" s="424">
        <v>1</v>
      </c>
      <c r="J24" s="424" t="s">
        <v>475</v>
      </c>
      <c r="K24" s="417"/>
      <c r="L24" s="403" t="s">
        <v>41</v>
      </c>
      <c r="M24" s="597">
        <f>SUM(M22:N23)</f>
        <v>32</v>
      </c>
      <c r="N24" s="597"/>
    </row>
    <row r="25" spans="1:10" ht="30" customHeight="1">
      <c r="A25" s="404">
        <v>1210</v>
      </c>
      <c r="B25" s="421" t="s">
        <v>409</v>
      </c>
      <c r="C25" s="422">
        <v>0</v>
      </c>
      <c r="D25" s="422">
        <v>0</v>
      </c>
      <c r="E25" s="423">
        <v>400</v>
      </c>
      <c r="F25" s="425">
        <v>19</v>
      </c>
      <c r="G25" s="424">
        <v>1</v>
      </c>
      <c r="H25" s="424" t="s">
        <v>475</v>
      </c>
      <c r="I25" s="424">
        <v>1</v>
      </c>
      <c r="J25" s="424" t="s">
        <v>475</v>
      </c>
    </row>
    <row r="26" spans="1:10" ht="30" customHeight="1">
      <c r="A26" s="404">
        <v>1230</v>
      </c>
      <c r="B26" s="421" t="s">
        <v>409</v>
      </c>
      <c r="C26" s="422">
        <v>0</v>
      </c>
      <c r="D26" s="422">
        <v>0</v>
      </c>
      <c r="E26" s="423">
        <v>400</v>
      </c>
      <c r="F26" s="425">
        <v>18</v>
      </c>
      <c r="G26" s="424">
        <v>1</v>
      </c>
      <c r="H26" s="424" t="s">
        <v>475</v>
      </c>
      <c r="I26" s="424">
        <v>1</v>
      </c>
      <c r="J26" s="424" t="s">
        <v>475</v>
      </c>
    </row>
    <row r="27" spans="1:10" ht="30" customHeight="1">
      <c r="A27" s="404">
        <v>1265</v>
      </c>
      <c r="B27" s="421" t="s">
        <v>409</v>
      </c>
      <c r="C27" s="422">
        <v>0</v>
      </c>
      <c r="D27" s="422">
        <v>0</v>
      </c>
      <c r="E27" s="423">
        <v>400</v>
      </c>
      <c r="F27" s="425">
        <v>11</v>
      </c>
      <c r="G27" s="424">
        <v>1</v>
      </c>
      <c r="H27" s="424" t="s">
        <v>475</v>
      </c>
      <c r="I27" s="424">
        <v>1</v>
      </c>
      <c r="J27" s="424" t="s">
        <v>475</v>
      </c>
    </row>
    <row r="28" spans="1:10" ht="30" customHeight="1">
      <c r="A28" s="404">
        <v>1285</v>
      </c>
      <c r="B28" s="421" t="s">
        <v>409</v>
      </c>
      <c r="C28" s="422">
        <v>0</v>
      </c>
      <c r="D28" s="422">
        <v>0</v>
      </c>
      <c r="E28" s="423">
        <v>400</v>
      </c>
      <c r="F28" s="425">
        <v>11</v>
      </c>
      <c r="G28" s="424">
        <v>1</v>
      </c>
      <c r="H28" s="424" t="s">
        <v>475</v>
      </c>
      <c r="I28" s="424">
        <v>1</v>
      </c>
      <c r="J28" s="424" t="s">
        <v>475</v>
      </c>
    </row>
    <row r="29" spans="1:10" ht="30" customHeight="1">
      <c r="A29" s="404">
        <v>1310</v>
      </c>
      <c r="B29" s="421" t="s">
        <v>409</v>
      </c>
      <c r="C29" s="422">
        <v>0</v>
      </c>
      <c r="D29" s="422">
        <v>0</v>
      </c>
      <c r="E29" s="423">
        <v>400</v>
      </c>
      <c r="F29" s="425">
        <v>11</v>
      </c>
      <c r="G29" s="424">
        <v>1</v>
      </c>
      <c r="H29" s="424" t="s">
        <v>475</v>
      </c>
      <c r="I29" s="424">
        <v>1</v>
      </c>
      <c r="J29" s="424" t="s">
        <v>475</v>
      </c>
    </row>
    <row r="30" ht="30" customHeight="1"/>
    <row r="34" ht="12">
      <c r="F34" s="466"/>
    </row>
    <row r="65535" ht="14.25">
      <c r="B65535" s="404" t="s">
        <v>409</v>
      </c>
    </row>
  </sheetData>
  <sheetProtection/>
  <mergeCells count="26">
    <mergeCell ref="M18:N18"/>
    <mergeCell ref="M17:N17"/>
    <mergeCell ref="M24:N24"/>
    <mergeCell ref="M22:N22"/>
    <mergeCell ref="M23:N23"/>
    <mergeCell ref="P1:T1"/>
    <mergeCell ref="L13:N13"/>
    <mergeCell ref="M14:N14"/>
    <mergeCell ref="P10:P12"/>
    <mergeCell ref="Q11:R12"/>
    <mergeCell ref="B1:B3"/>
    <mergeCell ref="L20:N20"/>
    <mergeCell ref="M21:N21"/>
    <mergeCell ref="M16:N16"/>
    <mergeCell ref="I2:J2"/>
    <mergeCell ref="M15:N15"/>
    <mergeCell ref="A13:J13"/>
    <mergeCell ref="A1:A3"/>
    <mergeCell ref="C1:D1"/>
    <mergeCell ref="E1:F1"/>
    <mergeCell ref="G1:J1"/>
    <mergeCell ref="C2:C3"/>
    <mergeCell ref="D2:D3"/>
    <mergeCell ref="E2:E3"/>
    <mergeCell ref="F2:F3"/>
    <mergeCell ref="G2:H2"/>
  </mergeCells>
  <printOptions/>
  <pageMargins left="0.511811024" right="0.511811024" top="0.787401575" bottom="0.787401575" header="0.31496062" footer="0.31496062"/>
  <pageSetup fitToHeight="0" fitToWidth="1" orientation="portrait" paperSize="9" scale="2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3">
    <pageSetUpPr fitToPage="1"/>
  </sheetPr>
  <dimension ref="A1:Z47"/>
  <sheetViews>
    <sheetView showGridLines="0" view="pageBreakPreview" zoomScale="60" zoomScaleNormal="70" zoomScalePageLayoutView="0" workbookViewId="0" topLeftCell="A1">
      <selection activeCell="Q22" sqref="Q22"/>
    </sheetView>
  </sheetViews>
  <sheetFormatPr defaultColWidth="9.140625" defaultRowHeight="12.75"/>
  <cols>
    <col min="1" max="1" width="11.140625" style="306" customWidth="1"/>
    <col min="2" max="2" width="10.7109375" style="306" bestFit="1" customWidth="1"/>
    <col min="3" max="8" width="9.140625" style="306" customWidth="1"/>
    <col min="9" max="9" width="13.7109375" style="306" bestFit="1" customWidth="1"/>
    <col min="10" max="10" width="10.140625" style="306" bestFit="1" customWidth="1"/>
    <col min="11" max="11" width="19.421875" style="306" bestFit="1" customWidth="1"/>
    <col min="12" max="13" width="15.28125" style="306" bestFit="1" customWidth="1"/>
    <col min="14" max="14" width="13.7109375" style="306" bestFit="1" customWidth="1"/>
    <col min="15" max="15" width="9.140625" style="306" customWidth="1"/>
    <col min="16" max="17" width="12.7109375" style="395" customWidth="1"/>
    <col min="18" max="18" width="17.421875" style="395" bestFit="1" customWidth="1"/>
    <col min="19" max="20" width="12.7109375" style="395" customWidth="1"/>
    <col min="21" max="21" width="16.140625" style="306" customWidth="1"/>
    <col min="22" max="22" width="24.7109375" style="306" customWidth="1"/>
    <col min="23" max="23" width="12.7109375" style="306" customWidth="1"/>
    <col min="24" max="24" width="14.7109375" style="306" bestFit="1" customWidth="1"/>
    <col min="25" max="25" width="12.28125" style="306" bestFit="1" customWidth="1"/>
    <col min="26" max="16384" width="9.140625" style="306" customWidth="1"/>
  </cols>
  <sheetData>
    <row r="1" ht="14.25">
      <c r="A1" s="305" t="str">
        <f>Orçamento!A1</f>
        <v>PREFEITURA MUNICIPAL DE FONTOURA XAVIER</v>
      </c>
    </row>
    <row r="2" ht="14.25">
      <c r="A2" s="305" t="str">
        <f>Orçamento!A2</f>
        <v>Obra: Pavimentação Asfáltica da Estrada de Ligação à BR-386</v>
      </c>
    </row>
    <row r="4" ht="15" thickBot="1"/>
    <row r="5" spans="1:25" ht="22.5" customHeight="1">
      <c r="A5" s="617" t="s">
        <v>296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9"/>
      <c r="P5" s="626" t="s">
        <v>482</v>
      </c>
      <c r="Q5" s="627"/>
      <c r="R5" s="627"/>
      <c r="S5" s="627"/>
      <c r="T5" s="628"/>
      <c r="V5" s="626" t="s">
        <v>490</v>
      </c>
      <c r="W5" s="627"/>
      <c r="X5" s="627"/>
      <c r="Y5" s="628"/>
    </row>
    <row r="6" spans="1:25" ht="22.5" customHeight="1">
      <c r="A6" s="620"/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2"/>
      <c r="P6" s="629"/>
      <c r="Q6" s="630"/>
      <c r="R6" s="630"/>
      <c r="S6" s="630"/>
      <c r="T6" s="631"/>
      <c r="V6" s="640"/>
      <c r="W6" s="641"/>
      <c r="X6" s="641"/>
      <c r="Y6" s="642"/>
    </row>
    <row r="7" spans="1:25" ht="22.5" customHeight="1">
      <c r="A7" s="614" t="s">
        <v>297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6"/>
      <c r="P7" s="632" t="s">
        <v>455</v>
      </c>
      <c r="Q7" s="613"/>
      <c r="R7" s="633" t="s">
        <v>385</v>
      </c>
      <c r="S7" s="633" t="s">
        <v>456</v>
      </c>
      <c r="T7" s="635" t="s">
        <v>483</v>
      </c>
      <c r="V7" s="449">
        <f>Orçamento!A5</f>
        <v>1227.47</v>
      </c>
      <c r="W7" s="428"/>
      <c r="X7" s="428"/>
      <c r="Y7" s="450"/>
    </row>
    <row r="8" spans="1:25" ht="22.5" customHeight="1" thickBot="1">
      <c r="A8" s="623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5"/>
      <c r="P8" s="438" t="s">
        <v>457</v>
      </c>
      <c r="Q8" s="439" t="s">
        <v>484</v>
      </c>
      <c r="R8" s="634"/>
      <c r="S8" s="634"/>
      <c r="T8" s="636"/>
      <c r="V8" s="451"/>
      <c r="W8" s="429"/>
      <c r="X8" s="429"/>
      <c r="Y8" s="452"/>
    </row>
    <row r="9" spans="1:25" ht="45" customHeight="1">
      <c r="A9" s="470" t="s">
        <v>298</v>
      </c>
      <c r="B9" s="307" t="s">
        <v>299</v>
      </c>
      <c r="C9" s="608" t="s">
        <v>300</v>
      </c>
      <c r="D9" s="609"/>
      <c r="E9" s="609"/>
      <c r="F9" s="609"/>
      <c r="G9" s="609"/>
      <c r="H9" s="610"/>
      <c r="I9" s="308" t="s">
        <v>301</v>
      </c>
      <c r="J9" s="308" t="s">
        <v>302</v>
      </c>
      <c r="K9" s="308" t="s">
        <v>303</v>
      </c>
      <c r="L9" s="308" t="s">
        <v>304</v>
      </c>
      <c r="M9" s="308" t="s">
        <v>305</v>
      </c>
      <c r="N9" s="471" t="s">
        <v>306</v>
      </c>
      <c r="P9" s="440">
        <v>235</v>
      </c>
      <c r="Q9" s="441">
        <v>1200</v>
      </c>
      <c r="R9" s="442" t="s">
        <v>485</v>
      </c>
      <c r="S9" s="442" t="s">
        <v>486</v>
      </c>
      <c r="T9" s="443">
        <f>ROUND((Q9-P9)*$X$11,2)</f>
        <v>115.8</v>
      </c>
      <c r="V9" s="646" t="s">
        <v>415</v>
      </c>
      <c r="W9" s="647"/>
      <c r="X9" s="647"/>
      <c r="Y9" s="648"/>
    </row>
    <row r="10" spans="1:25" ht="45" customHeight="1">
      <c r="A10" s="472"/>
      <c r="B10" s="468" t="s">
        <v>307</v>
      </c>
      <c r="C10" s="611" t="s">
        <v>308</v>
      </c>
      <c r="D10" s="612"/>
      <c r="E10" s="612"/>
      <c r="F10" s="612"/>
      <c r="G10" s="612"/>
      <c r="H10" s="613"/>
      <c r="I10" s="463">
        <v>0</v>
      </c>
      <c r="J10" s="464">
        <v>0</v>
      </c>
      <c r="K10" s="307" t="s">
        <v>289</v>
      </c>
      <c r="L10" s="468">
        <v>25</v>
      </c>
      <c r="M10" s="468">
        <v>25</v>
      </c>
      <c r="N10" s="454">
        <f>((((SQRT(2)*L10)+M10)^2)/10000)*J10</f>
        <v>0</v>
      </c>
      <c r="P10" s="440">
        <v>235</v>
      </c>
      <c r="Q10" s="444">
        <v>1260</v>
      </c>
      <c r="R10" s="309" t="s">
        <v>485</v>
      </c>
      <c r="S10" s="309" t="s">
        <v>487</v>
      </c>
      <c r="T10" s="443">
        <f>ROUND((Q10-P10)*$X$11,2)</f>
        <v>123</v>
      </c>
      <c r="V10" s="453"/>
      <c r="W10" s="436" t="s">
        <v>491</v>
      </c>
      <c r="X10" s="435" t="s">
        <v>310</v>
      </c>
      <c r="Y10" s="454" t="s">
        <v>311</v>
      </c>
    </row>
    <row r="11" spans="1:25" ht="45" customHeight="1">
      <c r="A11" s="473"/>
      <c r="B11" s="468" t="s">
        <v>312</v>
      </c>
      <c r="C11" s="611" t="s">
        <v>313</v>
      </c>
      <c r="D11" s="612"/>
      <c r="E11" s="612"/>
      <c r="F11" s="612"/>
      <c r="G11" s="612"/>
      <c r="H11" s="613"/>
      <c r="I11" s="463">
        <v>0</v>
      </c>
      <c r="J11" s="464">
        <v>0</v>
      </c>
      <c r="K11" s="309" t="s">
        <v>289</v>
      </c>
      <c r="L11" s="468">
        <v>80</v>
      </c>
      <c r="M11" s="468">
        <v>68.8</v>
      </c>
      <c r="N11" s="454">
        <f aca="true" t="shared" si="0" ref="N11:N16">((M11*L11)/10000)*J11</f>
        <v>0</v>
      </c>
      <c r="P11" s="440">
        <v>1200</v>
      </c>
      <c r="Q11" s="444">
        <v>1260</v>
      </c>
      <c r="R11" s="309" t="s">
        <v>488</v>
      </c>
      <c r="S11" s="309" t="s">
        <v>486</v>
      </c>
      <c r="T11" s="443">
        <f>ROUND((Q11-P11)*$X$11,2)</f>
        <v>7.2</v>
      </c>
      <c r="V11" s="455" t="s">
        <v>314</v>
      </c>
      <c r="W11" s="383" t="s">
        <v>489</v>
      </c>
      <c r="X11" s="383">
        <v>0.12</v>
      </c>
      <c r="Y11" s="456">
        <f>T13</f>
        <v>270.3</v>
      </c>
    </row>
    <row r="12" spans="1:26" ht="45" customHeight="1" thickBot="1">
      <c r="A12" s="473"/>
      <c r="B12" s="468" t="s">
        <v>315</v>
      </c>
      <c r="C12" s="611" t="s">
        <v>316</v>
      </c>
      <c r="D12" s="612"/>
      <c r="E12" s="612"/>
      <c r="F12" s="612"/>
      <c r="G12" s="612"/>
      <c r="H12" s="613"/>
      <c r="I12" s="463">
        <v>0</v>
      </c>
      <c r="J12" s="464">
        <v>0</v>
      </c>
      <c r="K12" s="468">
        <v>60</v>
      </c>
      <c r="L12" s="468">
        <v>60</v>
      </c>
      <c r="M12" s="468">
        <v>60</v>
      </c>
      <c r="N12" s="454">
        <f t="shared" si="0"/>
        <v>0</v>
      </c>
      <c r="P12" s="440">
        <v>1260</v>
      </c>
      <c r="Q12" s="444">
        <v>1462.47</v>
      </c>
      <c r="R12" s="309" t="s">
        <v>488</v>
      </c>
      <c r="S12" s="309" t="s">
        <v>478</v>
      </c>
      <c r="T12" s="443">
        <f>ROUND((Q12-P12)*$X$11,2)</f>
        <v>24.3</v>
      </c>
      <c r="V12" s="438" t="s">
        <v>317</v>
      </c>
      <c r="W12" s="439">
        <v>2</v>
      </c>
      <c r="X12" s="439">
        <v>0.15</v>
      </c>
      <c r="Y12" s="457">
        <f>ROUND($X$12*W12*$V$7,2)</f>
        <v>368.24</v>
      </c>
      <c r="Z12" s="437"/>
    </row>
    <row r="13" spans="1:20" ht="45" customHeight="1" thickBot="1">
      <c r="A13" s="473"/>
      <c r="B13" s="468" t="s">
        <v>318</v>
      </c>
      <c r="C13" s="611" t="s">
        <v>319</v>
      </c>
      <c r="D13" s="612"/>
      <c r="E13" s="612"/>
      <c r="F13" s="612"/>
      <c r="G13" s="612"/>
      <c r="H13" s="613"/>
      <c r="I13" s="463">
        <v>0</v>
      </c>
      <c r="J13" s="464">
        <v>0</v>
      </c>
      <c r="K13" s="468">
        <v>60</v>
      </c>
      <c r="L13" s="468">
        <v>60</v>
      </c>
      <c r="M13" s="468">
        <v>60</v>
      </c>
      <c r="N13" s="454">
        <f t="shared" si="0"/>
        <v>0</v>
      </c>
      <c r="P13" s="445" t="s">
        <v>41</v>
      </c>
      <c r="Q13" s="446"/>
      <c r="R13" s="446"/>
      <c r="S13" s="447"/>
      <c r="T13" s="448">
        <f>SUM(T9:T12)</f>
        <v>270.3</v>
      </c>
    </row>
    <row r="14" spans="1:25" ht="45" customHeight="1" thickBot="1">
      <c r="A14" s="473"/>
      <c r="B14" s="468" t="s">
        <v>321</v>
      </c>
      <c r="C14" s="611" t="s">
        <v>322</v>
      </c>
      <c r="D14" s="612"/>
      <c r="E14" s="612"/>
      <c r="F14" s="612"/>
      <c r="G14" s="612"/>
      <c r="H14" s="613"/>
      <c r="I14" s="463">
        <v>0</v>
      </c>
      <c r="J14" s="464">
        <v>0</v>
      </c>
      <c r="K14" s="468">
        <v>60</v>
      </c>
      <c r="L14" s="468">
        <v>60</v>
      </c>
      <c r="M14" s="468">
        <v>60</v>
      </c>
      <c r="N14" s="454">
        <f t="shared" si="0"/>
        <v>0</v>
      </c>
      <c r="P14" s="432"/>
      <c r="Q14" s="432"/>
      <c r="R14" s="426"/>
      <c r="S14" s="426"/>
      <c r="T14" s="426"/>
      <c r="V14" s="649" t="s">
        <v>492</v>
      </c>
      <c r="W14" s="650"/>
      <c r="X14" s="650"/>
      <c r="Y14" s="651"/>
    </row>
    <row r="15" spans="1:25" ht="45" customHeight="1">
      <c r="A15" s="473"/>
      <c r="B15" s="468" t="s">
        <v>325</v>
      </c>
      <c r="C15" s="611" t="s">
        <v>326</v>
      </c>
      <c r="D15" s="612"/>
      <c r="E15" s="612"/>
      <c r="F15" s="612"/>
      <c r="G15" s="612"/>
      <c r="H15" s="613"/>
      <c r="I15" s="463">
        <v>0</v>
      </c>
      <c r="J15" s="464">
        <v>0</v>
      </c>
      <c r="K15" s="468">
        <v>60</v>
      </c>
      <c r="L15" s="468">
        <v>60</v>
      </c>
      <c r="M15" s="468">
        <v>60</v>
      </c>
      <c r="N15" s="454">
        <f t="shared" si="0"/>
        <v>0</v>
      </c>
      <c r="P15" s="432"/>
      <c r="Q15" s="432"/>
      <c r="R15" s="426"/>
      <c r="S15" s="426"/>
      <c r="T15" s="426"/>
      <c r="V15" s="652" t="s">
        <v>493</v>
      </c>
      <c r="W15" s="653"/>
      <c r="X15" s="653"/>
      <c r="Y15" s="654"/>
    </row>
    <row r="16" spans="1:25" ht="45" customHeight="1">
      <c r="A16" s="473"/>
      <c r="B16" s="468" t="s">
        <v>327</v>
      </c>
      <c r="C16" s="600" t="s">
        <v>328</v>
      </c>
      <c r="D16" s="600"/>
      <c r="E16" s="600"/>
      <c r="F16" s="600"/>
      <c r="G16" s="600"/>
      <c r="H16" s="600"/>
      <c r="I16" s="468">
        <f>J16</f>
        <v>4</v>
      </c>
      <c r="J16" s="468">
        <v>4</v>
      </c>
      <c r="K16" s="468">
        <v>60</v>
      </c>
      <c r="L16" s="468">
        <v>60</v>
      </c>
      <c r="M16" s="468">
        <v>60</v>
      </c>
      <c r="N16" s="454">
        <f t="shared" si="0"/>
        <v>1.44</v>
      </c>
      <c r="P16" s="432"/>
      <c r="Q16" s="432"/>
      <c r="R16" s="426"/>
      <c r="S16" s="426"/>
      <c r="T16" s="426"/>
      <c r="V16" s="458" t="s">
        <v>491</v>
      </c>
      <c r="W16" s="436" t="s">
        <v>494</v>
      </c>
      <c r="X16" s="459" t="s">
        <v>495</v>
      </c>
      <c r="Y16" s="460" t="s">
        <v>384</v>
      </c>
    </row>
    <row r="17" spans="1:25" ht="45" customHeight="1">
      <c r="A17" s="614" t="s">
        <v>329</v>
      </c>
      <c r="B17" s="615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6"/>
      <c r="P17" s="432"/>
      <c r="Q17" s="432"/>
      <c r="R17" s="426"/>
      <c r="S17" s="426"/>
      <c r="T17" s="426"/>
      <c r="V17" s="458">
        <v>0</v>
      </c>
      <c r="W17" s="436">
        <v>4</v>
      </c>
      <c r="X17" s="436">
        <v>7</v>
      </c>
      <c r="Y17" s="461">
        <f>X17*W17*V17*0.5</f>
        <v>0</v>
      </c>
    </row>
    <row r="18" spans="1:25" ht="45" customHeight="1">
      <c r="A18" s="470" t="s">
        <v>44</v>
      </c>
      <c r="B18" s="307" t="s">
        <v>299</v>
      </c>
      <c r="C18" s="608" t="s">
        <v>300</v>
      </c>
      <c r="D18" s="609"/>
      <c r="E18" s="609"/>
      <c r="F18" s="609"/>
      <c r="G18" s="609"/>
      <c r="H18" s="610"/>
      <c r="I18" s="308" t="s">
        <v>301</v>
      </c>
      <c r="J18" s="308" t="s">
        <v>302</v>
      </c>
      <c r="K18" s="308" t="s">
        <v>303</v>
      </c>
      <c r="L18" s="308" t="s">
        <v>304</v>
      </c>
      <c r="M18" s="308" t="s">
        <v>305</v>
      </c>
      <c r="N18" s="471" t="s">
        <v>306</v>
      </c>
      <c r="P18" s="432"/>
      <c r="Q18" s="432"/>
      <c r="R18" s="426"/>
      <c r="S18" s="426"/>
      <c r="T18" s="426"/>
      <c r="V18" s="655" t="s">
        <v>496</v>
      </c>
      <c r="W18" s="656"/>
      <c r="X18" s="656"/>
      <c r="Y18" s="657"/>
    </row>
    <row r="19" spans="1:25" ht="45" customHeight="1">
      <c r="A19" s="473"/>
      <c r="B19" s="468" t="s">
        <v>330</v>
      </c>
      <c r="C19" s="600" t="s">
        <v>331</v>
      </c>
      <c r="D19" s="600"/>
      <c r="E19" s="600"/>
      <c r="F19" s="600"/>
      <c r="G19" s="600"/>
      <c r="H19" s="600"/>
      <c r="I19" s="468">
        <f aca="true" t="shared" si="1" ref="I19:I24">J19</f>
        <v>1</v>
      </c>
      <c r="J19" s="468">
        <v>1</v>
      </c>
      <c r="K19" s="309" t="s">
        <v>289</v>
      </c>
      <c r="L19" s="468">
        <v>60</v>
      </c>
      <c r="M19" s="468">
        <v>60</v>
      </c>
      <c r="N19" s="454">
        <f aca="true" t="shared" si="2" ref="N19:N35">((M19*L19)/10000)*J19</f>
        <v>0.36</v>
      </c>
      <c r="P19" s="432"/>
      <c r="Q19" s="432"/>
      <c r="R19" s="426"/>
      <c r="S19" s="426"/>
      <c r="T19" s="426"/>
      <c r="V19" s="458" t="s">
        <v>491</v>
      </c>
      <c r="W19" s="436" t="s">
        <v>494</v>
      </c>
      <c r="X19" s="459" t="s">
        <v>495</v>
      </c>
      <c r="Y19" s="460" t="s">
        <v>384</v>
      </c>
    </row>
    <row r="20" spans="1:25" ht="45" customHeight="1">
      <c r="A20" s="473"/>
      <c r="B20" s="468" t="s">
        <v>332</v>
      </c>
      <c r="C20" s="600" t="s">
        <v>333</v>
      </c>
      <c r="D20" s="600"/>
      <c r="E20" s="600"/>
      <c r="F20" s="600"/>
      <c r="G20" s="600"/>
      <c r="H20" s="600"/>
      <c r="I20" s="468">
        <f t="shared" si="1"/>
        <v>1</v>
      </c>
      <c r="J20" s="468">
        <v>1</v>
      </c>
      <c r="K20" s="309" t="s">
        <v>289</v>
      </c>
      <c r="L20" s="468">
        <v>60</v>
      </c>
      <c r="M20" s="468">
        <v>60</v>
      </c>
      <c r="N20" s="454">
        <f t="shared" si="2"/>
        <v>0.36</v>
      </c>
      <c r="P20" s="432"/>
      <c r="Q20" s="432"/>
      <c r="R20" s="426"/>
      <c r="S20" s="426"/>
      <c r="T20" s="426"/>
      <c r="V20" s="458">
        <f>V17</f>
        <v>0</v>
      </c>
      <c r="W20" s="436">
        <v>0.4</v>
      </c>
      <c r="X20" s="436">
        <f>W17</f>
        <v>4</v>
      </c>
      <c r="Y20" s="461">
        <f>W20*V20*X20*2</f>
        <v>0</v>
      </c>
    </row>
    <row r="21" spans="1:25" ht="45" customHeight="1">
      <c r="A21" s="473"/>
      <c r="B21" s="468" t="s">
        <v>334</v>
      </c>
      <c r="C21" s="600" t="s">
        <v>335</v>
      </c>
      <c r="D21" s="600"/>
      <c r="E21" s="600"/>
      <c r="F21" s="600"/>
      <c r="G21" s="600"/>
      <c r="H21" s="600"/>
      <c r="I21" s="468">
        <f t="shared" si="1"/>
        <v>1</v>
      </c>
      <c r="J21" s="468">
        <v>1</v>
      </c>
      <c r="K21" s="309" t="s">
        <v>289</v>
      </c>
      <c r="L21" s="468">
        <v>60</v>
      </c>
      <c r="M21" s="468">
        <v>60</v>
      </c>
      <c r="N21" s="454">
        <f t="shared" si="2"/>
        <v>0.36</v>
      </c>
      <c r="P21" s="432"/>
      <c r="Q21" s="432"/>
      <c r="R21" s="426"/>
      <c r="S21" s="426"/>
      <c r="T21" s="426"/>
      <c r="V21" s="655" t="s">
        <v>497</v>
      </c>
      <c r="W21" s="656"/>
      <c r="X21" s="656"/>
      <c r="Y21" s="657"/>
    </row>
    <row r="22" spans="1:25" ht="45" customHeight="1">
      <c r="A22" s="473"/>
      <c r="B22" s="468" t="s">
        <v>336</v>
      </c>
      <c r="C22" s="600" t="s">
        <v>337</v>
      </c>
      <c r="D22" s="600"/>
      <c r="E22" s="600"/>
      <c r="F22" s="600"/>
      <c r="G22" s="600"/>
      <c r="H22" s="600"/>
      <c r="I22" s="468">
        <f t="shared" si="1"/>
        <v>1</v>
      </c>
      <c r="J22" s="468">
        <v>1</v>
      </c>
      <c r="K22" s="309" t="s">
        <v>289</v>
      </c>
      <c r="L22" s="468">
        <v>60</v>
      </c>
      <c r="M22" s="468">
        <v>60</v>
      </c>
      <c r="N22" s="454">
        <f t="shared" si="2"/>
        <v>0.36</v>
      </c>
      <c r="P22" s="432"/>
      <c r="Q22" s="432"/>
      <c r="R22" s="426"/>
      <c r="S22" s="426"/>
      <c r="T22" s="426"/>
      <c r="V22" s="458" t="s">
        <v>491</v>
      </c>
      <c r="W22" s="436" t="s">
        <v>494</v>
      </c>
      <c r="X22" s="459" t="s">
        <v>495</v>
      </c>
      <c r="Y22" s="460" t="s">
        <v>384</v>
      </c>
    </row>
    <row r="23" spans="1:25" ht="45" customHeight="1">
      <c r="A23" s="473"/>
      <c r="B23" s="468" t="s">
        <v>338</v>
      </c>
      <c r="C23" s="600" t="s">
        <v>339</v>
      </c>
      <c r="D23" s="600"/>
      <c r="E23" s="600"/>
      <c r="F23" s="600"/>
      <c r="G23" s="600"/>
      <c r="H23" s="600"/>
      <c r="I23" s="468">
        <f t="shared" si="1"/>
        <v>1</v>
      </c>
      <c r="J23" s="468">
        <v>1</v>
      </c>
      <c r="K23" s="309" t="s">
        <v>289</v>
      </c>
      <c r="L23" s="468">
        <v>60</v>
      </c>
      <c r="M23" s="468">
        <v>60</v>
      </c>
      <c r="N23" s="454">
        <f t="shared" si="2"/>
        <v>0.36</v>
      </c>
      <c r="P23" s="432"/>
      <c r="Q23" s="432"/>
      <c r="R23" s="426"/>
      <c r="S23" s="426"/>
      <c r="T23" s="426"/>
      <c r="V23" s="430">
        <v>0</v>
      </c>
      <c r="W23" s="399">
        <v>3.6</v>
      </c>
      <c r="X23" s="399">
        <v>7</v>
      </c>
      <c r="Y23" s="431">
        <f>ROUND(X23*W23*V23,2)</f>
        <v>0</v>
      </c>
    </row>
    <row r="24" spans="1:25" ht="45" customHeight="1" thickBot="1">
      <c r="A24" s="473"/>
      <c r="B24" s="468" t="s">
        <v>340</v>
      </c>
      <c r="C24" s="600" t="s">
        <v>341</v>
      </c>
      <c r="D24" s="600"/>
      <c r="E24" s="600"/>
      <c r="F24" s="600"/>
      <c r="G24" s="600"/>
      <c r="H24" s="600"/>
      <c r="I24" s="468">
        <f t="shared" si="1"/>
        <v>1</v>
      </c>
      <c r="J24" s="468">
        <v>1</v>
      </c>
      <c r="K24" s="309" t="s">
        <v>289</v>
      </c>
      <c r="L24" s="468">
        <v>60</v>
      </c>
      <c r="M24" s="468">
        <v>60</v>
      </c>
      <c r="N24" s="454">
        <f t="shared" si="2"/>
        <v>0.36</v>
      </c>
      <c r="P24" s="432"/>
      <c r="Q24" s="432"/>
      <c r="R24" s="426"/>
      <c r="S24" s="426"/>
      <c r="T24" s="426"/>
      <c r="V24" s="637" t="s">
        <v>498</v>
      </c>
      <c r="W24" s="638"/>
      <c r="X24" s="639"/>
      <c r="Y24" s="462">
        <f>Y20+Y17+Y23</f>
        <v>0</v>
      </c>
    </row>
    <row r="25" spans="1:20" ht="45" customHeight="1" thickBot="1">
      <c r="A25" s="473"/>
      <c r="B25" s="468" t="s">
        <v>342</v>
      </c>
      <c r="C25" s="600" t="s">
        <v>343</v>
      </c>
      <c r="D25" s="600"/>
      <c r="E25" s="600"/>
      <c r="F25" s="600"/>
      <c r="G25" s="600"/>
      <c r="H25" s="600"/>
      <c r="I25" s="463">
        <v>0</v>
      </c>
      <c r="J25" s="464">
        <v>0</v>
      </c>
      <c r="K25" s="309" t="s">
        <v>289</v>
      </c>
      <c r="L25" s="468">
        <v>60</v>
      </c>
      <c r="M25" s="468">
        <v>60</v>
      </c>
      <c r="N25" s="454">
        <f t="shared" si="2"/>
        <v>0</v>
      </c>
      <c r="P25" s="432"/>
      <c r="Q25" s="426"/>
      <c r="R25" s="426"/>
      <c r="S25" s="426"/>
      <c r="T25" s="426"/>
    </row>
    <row r="26" spans="1:25" ht="45" customHeight="1">
      <c r="A26" s="473"/>
      <c r="B26" s="468" t="s">
        <v>344</v>
      </c>
      <c r="C26" s="600" t="s">
        <v>345</v>
      </c>
      <c r="D26" s="600"/>
      <c r="E26" s="600"/>
      <c r="F26" s="600"/>
      <c r="G26" s="600"/>
      <c r="H26" s="600"/>
      <c r="I26" s="463">
        <v>0</v>
      </c>
      <c r="J26" s="464">
        <v>0</v>
      </c>
      <c r="K26" s="309" t="s">
        <v>289</v>
      </c>
      <c r="L26" s="468">
        <v>60</v>
      </c>
      <c r="M26" s="468">
        <v>60</v>
      </c>
      <c r="N26" s="454">
        <f t="shared" si="2"/>
        <v>0</v>
      </c>
      <c r="P26" s="432"/>
      <c r="Q26" s="432"/>
      <c r="R26" s="426"/>
      <c r="S26" s="426"/>
      <c r="T26" s="426"/>
      <c r="V26" s="643" t="s">
        <v>320</v>
      </c>
      <c r="W26" s="644"/>
      <c r="X26" s="644"/>
      <c r="Y26" s="645"/>
    </row>
    <row r="27" spans="1:25" ht="45" customHeight="1">
      <c r="A27" s="473"/>
      <c r="B27" s="468" t="s">
        <v>346</v>
      </c>
      <c r="C27" s="600" t="s">
        <v>347</v>
      </c>
      <c r="D27" s="600"/>
      <c r="E27" s="600"/>
      <c r="F27" s="600"/>
      <c r="G27" s="600"/>
      <c r="H27" s="600"/>
      <c r="I27" s="468">
        <f>J27</f>
        <v>2</v>
      </c>
      <c r="J27" s="468">
        <v>2</v>
      </c>
      <c r="K27" s="309" t="s">
        <v>289</v>
      </c>
      <c r="L27" s="468">
        <v>60</v>
      </c>
      <c r="M27" s="468">
        <v>60</v>
      </c>
      <c r="N27" s="454">
        <f t="shared" si="2"/>
        <v>0.72</v>
      </c>
      <c r="P27" s="432"/>
      <c r="Q27" s="432"/>
      <c r="R27" s="426"/>
      <c r="S27" s="426"/>
      <c r="T27" s="426"/>
      <c r="V27" s="453" t="s">
        <v>309</v>
      </c>
      <c r="W27" s="436" t="s">
        <v>491</v>
      </c>
      <c r="X27" s="435" t="s">
        <v>323</v>
      </c>
      <c r="Y27" s="454" t="s">
        <v>324</v>
      </c>
    </row>
    <row r="28" spans="1:25" ht="45" customHeight="1">
      <c r="A28" s="473"/>
      <c r="B28" s="468" t="s">
        <v>348</v>
      </c>
      <c r="C28" s="600" t="s">
        <v>349</v>
      </c>
      <c r="D28" s="600"/>
      <c r="E28" s="600"/>
      <c r="F28" s="600"/>
      <c r="G28" s="600"/>
      <c r="H28" s="600"/>
      <c r="I28" s="463">
        <v>0</v>
      </c>
      <c r="J28" s="464">
        <v>0</v>
      </c>
      <c r="K28" s="309" t="s">
        <v>289</v>
      </c>
      <c r="L28" s="468">
        <v>60</v>
      </c>
      <c r="M28" s="468">
        <v>60</v>
      </c>
      <c r="N28" s="454">
        <f t="shared" si="2"/>
        <v>0</v>
      </c>
      <c r="P28" s="432"/>
      <c r="Q28" s="432"/>
      <c r="R28" s="426"/>
      <c r="S28" s="426"/>
      <c r="T28" s="433"/>
      <c r="V28" s="455" t="s">
        <v>314</v>
      </c>
      <c r="W28" s="427">
        <v>1</v>
      </c>
      <c r="X28" s="383">
        <v>4</v>
      </c>
      <c r="Y28" s="454">
        <f>ROUND($V$7/X28,0)*W28</f>
        <v>307</v>
      </c>
    </row>
    <row r="29" spans="1:25" ht="45" customHeight="1">
      <c r="A29" s="473"/>
      <c r="B29" s="468" t="s">
        <v>350</v>
      </c>
      <c r="C29" s="600" t="s">
        <v>351</v>
      </c>
      <c r="D29" s="600"/>
      <c r="E29" s="600"/>
      <c r="F29" s="600"/>
      <c r="G29" s="600"/>
      <c r="H29" s="600"/>
      <c r="I29" s="463">
        <v>0</v>
      </c>
      <c r="J29" s="464">
        <v>0</v>
      </c>
      <c r="K29" s="309" t="s">
        <v>289</v>
      </c>
      <c r="L29" s="468">
        <v>60</v>
      </c>
      <c r="M29" s="468">
        <v>60</v>
      </c>
      <c r="N29" s="454">
        <f t="shared" si="2"/>
        <v>0</v>
      </c>
      <c r="P29" s="432"/>
      <c r="Q29" s="432"/>
      <c r="R29" s="426"/>
      <c r="S29" s="426"/>
      <c r="T29" s="433"/>
      <c r="V29" s="455" t="s">
        <v>317</v>
      </c>
      <c r="W29" s="383">
        <v>2</v>
      </c>
      <c r="X29" s="383">
        <v>8</v>
      </c>
      <c r="Y29" s="454">
        <f>ROUND($V$7/X29,0)*W29</f>
        <v>306</v>
      </c>
    </row>
    <row r="30" spans="1:25" ht="45" customHeight="1" thickBot="1">
      <c r="A30" s="473"/>
      <c r="B30" s="468" t="s">
        <v>352</v>
      </c>
      <c r="C30" s="600" t="s">
        <v>353</v>
      </c>
      <c r="D30" s="600"/>
      <c r="E30" s="600"/>
      <c r="F30" s="600"/>
      <c r="G30" s="600"/>
      <c r="H30" s="600"/>
      <c r="I30" s="463">
        <v>0</v>
      </c>
      <c r="J30" s="464">
        <v>0</v>
      </c>
      <c r="K30" s="309" t="s">
        <v>289</v>
      </c>
      <c r="L30" s="468">
        <v>60</v>
      </c>
      <c r="M30" s="468">
        <v>60</v>
      </c>
      <c r="N30" s="454">
        <f t="shared" si="2"/>
        <v>0</v>
      </c>
      <c r="P30" s="306"/>
      <c r="Q30" s="306"/>
      <c r="R30" s="306"/>
      <c r="S30" s="306"/>
      <c r="T30" s="306"/>
      <c r="V30" s="637" t="s">
        <v>498</v>
      </c>
      <c r="W30" s="638"/>
      <c r="X30" s="639"/>
      <c r="Y30" s="462">
        <f>SUM(Y28:Y29)</f>
        <v>613</v>
      </c>
    </row>
    <row r="31" spans="1:14" ht="45" customHeight="1">
      <c r="A31" s="473"/>
      <c r="B31" s="468" t="s">
        <v>354</v>
      </c>
      <c r="C31" s="600" t="s">
        <v>355</v>
      </c>
      <c r="D31" s="600"/>
      <c r="E31" s="600"/>
      <c r="F31" s="600"/>
      <c r="G31" s="600"/>
      <c r="H31" s="600"/>
      <c r="I31" s="463">
        <v>0</v>
      </c>
      <c r="J31" s="464">
        <v>0</v>
      </c>
      <c r="K31" s="309" t="s">
        <v>289</v>
      </c>
      <c r="L31" s="468">
        <v>60</v>
      </c>
      <c r="M31" s="468">
        <v>60</v>
      </c>
      <c r="N31" s="454">
        <f t="shared" si="2"/>
        <v>0</v>
      </c>
    </row>
    <row r="32" spans="1:17" ht="45" customHeight="1">
      <c r="A32" s="473"/>
      <c r="B32" s="468" t="s">
        <v>356</v>
      </c>
      <c r="C32" s="600" t="s">
        <v>357</v>
      </c>
      <c r="D32" s="600"/>
      <c r="E32" s="600"/>
      <c r="F32" s="600"/>
      <c r="G32" s="600"/>
      <c r="H32" s="600"/>
      <c r="I32" s="463">
        <v>0</v>
      </c>
      <c r="J32" s="464">
        <v>0</v>
      </c>
      <c r="K32" s="309" t="s">
        <v>289</v>
      </c>
      <c r="L32" s="468">
        <v>60</v>
      </c>
      <c r="M32" s="468">
        <v>60</v>
      </c>
      <c r="N32" s="454">
        <f t="shared" si="2"/>
        <v>0</v>
      </c>
      <c r="P32" s="406"/>
      <c r="Q32" s="406"/>
    </row>
    <row r="33" spans="1:17" ht="45" customHeight="1">
      <c r="A33" s="473"/>
      <c r="B33" s="468" t="s">
        <v>358</v>
      </c>
      <c r="C33" s="600" t="s">
        <v>359</v>
      </c>
      <c r="D33" s="600"/>
      <c r="E33" s="600"/>
      <c r="F33" s="600"/>
      <c r="G33" s="600"/>
      <c r="H33" s="600"/>
      <c r="I33" s="463">
        <v>0</v>
      </c>
      <c r="J33" s="464">
        <v>0</v>
      </c>
      <c r="K33" s="309" t="s">
        <v>289</v>
      </c>
      <c r="L33" s="468">
        <v>60</v>
      </c>
      <c r="M33" s="468">
        <v>60</v>
      </c>
      <c r="N33" s="454">
        <f t="shared" si="2"/>
        <v>0</v>
      </c>
      <c r="P33" s="406"/>
      <c r="Q33" s="406"/>
    </row>
    <row r="34" spans="1:16" ht="45" customHeight="1">
      <c r="A34" s="473"/>
      <c r="B34" s="468" t="s">
        <v>360</v>
      </c>
      <c r="C34" s="600" t="s">
        <v>361</v>
      </c>
      <c r="D34" s="600"/>
      <c r="E34" s="600"/>
      <c r="F34" s="600"/>
      <c r="G34" s="600"/>
      <c r="H34" s="600"/>
      <c r="I34" s="463">
        <v>0</v>
      </c>
      <c r="J34" s="464">
        <v>0</v>
      </c>
      <c r="K34" s="309" t="s">
        <v>289</v>
      </c>
      <c r="L34" s="468">
        <v>60</v>
      </c>
      <c r="M34" s="468">
        <v>60</v>
      </c>
      <c r="N34" s="454">
        <f t="shared" si="2"/>
        <v>0</v>
      </c>
      <c r="P34" s="406"/>
    </row>
    <row r="35" spans="1:14" ht="45" customHeight="1">
      <c r="A35" s="473"/>
      <c r="B35" s="468" t="s">
        <v>362</v>
      </c>
      <c r="C35" s="600" t="s">
        <v>363</v>
      </c>
      <c r="D35" s="600"/>
      <c r="E35" s="600"/>
      <c r="F35" s="600"/>
      <c r="G35" s="600"/>
      <c r="H35" s="600"/>
      <c r="I35" s="463">
        <v>0</v>
      </c>
      <c r="J35" s="464">
        <v>0</v>
      </c>
      <c r="K35" s="309" t="s">
        <v>289</v>
      </c>
      <c r="L35" s="468">
        <v>60</v>
      </c>
      <c r="M35" s="468">
        <v>60</v>
      </c>
      <c r="N35" s="454">
        <f t="shared" si="2"/>
        <v>0</v>
      </c>
    </row>
    <row r="36" spans="1:14" ht="45" customHeight="1">
      <c r="A36" s="601" t="s">
        <v>364</v>
      </c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3"/>
    </row>
    <row r="37" spans="1:14" ht="45" customHeight="1">
      <c r="A37" s="470" t="s">
        <v>44</v>
      </c>
      <c r="B37" s="307" t="s">
        <v>299</v>
      </c>
      <c r="C37" s="608" t="s">
        <v>300</v>
      </c>
      <c r="D37" s="609"/>
      <c r="E37" s="609"/>
      <c r="F37" s="609"/>
      <c r="G37" s="609"/>
      <c r="H37" s="610"/>
      <c r="I37" s="308" t="s">
        <v>301</v>
      </c>
      <c r="J37" s="308" t="s">
        <v>302</v>
      </c>
      <c r="K37" s="308" t="s">
        <v>303</v>
      </c>
      <c r="L37" s="308" t="s">
        <v>304</v>
      </c>
      <c r="M37" s="308" t="s">
        <v>305</v>
      </c>
      <c r="N37" s="471" t="s">
        <v>306</v>
      </c>
    </row>
    <row r="38" spans="1:14" ht="45" customHeight="1">
      <c r="A38" s="473"/>
      <c r="B38" s="309" t="s">
        <v>289</v>
      </c>
      <c r="C38" s="600" t="s">
        <v>370</v>
      </c>
      <c r="D38" s="600"/>
      <c r="E38" s="600"/>
      <c r="F38" s="600"/>
      <c r="G38" s="600"/>
      <c r="H38" s="600"/>
      <c r="I38" s="463">
        <v>0</v>
      </c>
      <c r="J38" s="464">
        <v>0</v>
      </c>
      <c r="K38" s="309" t="s">
        <v>289</v>
      </c>
      <c r="L38" s="468">
        <v>45</v>
      </c>
      <c r="M38" s="468">
        <v>25</v>
      </c>
      <c r="N38" s="454">
        <f>((M38*L38)/10000)*J38</f>
        <v>0</v>
      </c>
    </row>
    <row r="39" spans="1:14" ht="45" customHeight="1">
      <c r="A39" s="473"/>
      <c r="B39" s="309" t="s">
        <v>289</v>
      </c>
      <c r="C39" s="600" t="s">
        <v>365</v>
      </c>
      <c r="D39" s="600"/>
      <c r="E39" s="600"/>
      <c r="F39" s="600"/>
      <c r="G39" s="600"/>
      <c r="H39" s="600"/>
      <c r="I39" s="463">
        <v>0</v>
      </c>
      <c r="J39" s="464">
        <v>0</v>
      </c>
      <c r="K39" s="309" t="s">
        <v>289</v>
      </c>
      <c r="L39" s="468">
        <v>50</v>
      </c>
      <c r="M39" s="468">
        <v>60</v>
      </c>
      <c r="N39" s="454">
        <f>((M39*L39)/10000)*J39</f>
        <v>0</v>
      </c>
    </row>
    <row r="40" spans="1:14" ht="45" customHeight="1">
      <c r="A40" s="473"/>
      <c r="B40" s="309" t="s">
        <v>289</v>
      </c>
      <c r="C40" s="600" t="s">
        <v>366</v>
      </c>
      <c r="D40" s="600"/>
      <c r="E40" s="600"/>
      <c r="F40" s="600"/>
      <c r="G40" s="600"/>
      <c r="H40" s="600"/>
      <c r="I40" s="463">
        <v>0</v>
      </c>
      <c r="J40" s="464">
        <v>0</v>
      </c>
      <c r="K40" s="309" t="s">
        <v>289</v>
      </c>
      <c r="L40" s="468">
        <v>200</v>
      </c>
      <c r="M40" s="468">
        <v>100</v>
      </c>
      <c r="N40" s="454">
        <f>((M40*L40)/10000)*J40</f>
        <v>0</v>
      </c>
    </row>
    <row r="41" spans="1:14" ht="45" customHeight="1">
      <c r="A41" s="473"/>
      <c r="B41" s="309" t="s">
        <v>367</v>
      </c>
      <c r="C41" s="600" t="s">
        <v>368</v>
      </c>
      <c r="D41" s="600"/>
      <c r="E41" s="600"/>
      <c r="F41" s="600"/>
      <c r="G41" s="600"/>
      <c r="H41" s="600"/>
      <c r="I41" s="463">
        <v>0</v>
      </c>
      <c r="J41" s="464">
        <v>0</v>
      </c>
      <c r="K41" s="309" t="s">
        <v>289</v>
      </c>
      <c r="L41" s="468">
        <v>40</v>
      </c>
      <c r="M41" s="468">
        <v>60</v>
      </c>
      <c r="N41" s="454">
        <f>((M41*L41)/10000)*J41</f>
        <v>0</v>
      </c>
    </row>
    <row r="42" spans="1:14" ht="45" customHeight="1">
      <c r="A42" s="473"/>
      <c r="B42" s="309" t="s">
        <v>350</v>
      </c>
      <c r="C42" s="600" t="s">
        <v>369</v>
      </c>
      <c r="D42" s="600"/>
      <c r="E42" s="600"/>
      <c r="F42" s="600"/>
      <c r="G42" s="600"/>
      <c r="H42" s="600"/>
      <c r="I42" s="463">
        <v>0</v>
      </c>
      <c r="J42" s="464">
        <v>0</v>
      </c>
      <c r="K42" s="309" t="s">
        <v>289</v>
      </c>
      <c r="L42" s="468">
        <v>40</v>
      </c>
      <c r="M42" s="468">
        <v>60</v>
      </c>
      <c r="N42" s="454">
        <f>((M42*L42)/10000)*J42</f>
        <v>0</v>
      </c>
    </row>
    <row r="43" spans="1:14" ht="45" customHeight="1" thickBot="1">
      <c r="A43" s="604" t="s">
        <v>371</v>
      </c>
      <c r="B43" s="605"/>
      <c r="C43" s="605"/>
      <c r="D43" s="605"/>
      <c r="E43" s="605"/>
      <c r="F43" s="605"/>
      <c r="G43" s="605"/>
      <c r="H43" s="605"/>
      <c r="I43" s="439">
        <f>SUM(I10:I42)</f>
        <v>12</v>
      </c>
      <c r="J43" s="606" t="s">
        <v>372</v>
      </c>
      <c r="K43" s="605"/>
      <c r="L43" s="605"/>
      <c r="M43" s="607"/>
      <c r="N43" s="457">
        <f>SUM(N10:N42)</f>
        <v>4.319999999999999</v>
      </c>
    </row>
    <row r="47" ht="14.25">
      <c r="W47" s="310"/>
    </row>
  </sheetData>
  <sheetProtection/>
  <mergeCells count="52">
    <mergeCell ref="C11:H11"/>
    <mergeCell ref="V30:X30"/>
    <mergeCell ref="V5:Y6"/>
    <mergeCell ref="V26:Y26"/>
    <mergeCell ref="V9:Y9"/>
    <mergeCell ref="V14:Y14"/>
    <mergeCell ref="V15:Y15"/>
    <mergeCell ref="V18:Y18"/>
    <mergeCell ref="V21:Y21"/>
    <mergeCell ref="V24:X24"/>
    <mergeCell ref="C10:H10"/>
    <mergeCell ref="A5:N6"/>
    <mergeCell ref="A7:N8"/>
    <mergeCell ref="C9:H9"/>
    <mergeCell ref="C14:H14"/>
    <mergeCell ref="P5:T6"/>
    <mergeCell ref="P7:Q7"/>
    <mergeCell ref="R7:R8"/>
    <mergeCell ref="S7:S8"/>
    <mergeCell ref="T7:T8"/>
    <mergeCell ref="C15:H15"/>
    <mergeCell ref="C16:H16"/>
    <mergeCell ref="A17:N17"/>
    <mergeCell ref="C18:H18"/>
    <mergeCell ref="C12:H12"/>
    <mergeCell ref="C19:H19"/>
    <mergeCell ref="C13:H13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42:H42"/>
    <mergeCell ref="C31:H31"/>
    <mergeCell ref="C32:H32"/>
    <mergeCell ref="C33:H33"/>
    <mergeCell ref="C34:H34"/>
    <mergeCell ref="C35:H35"/>
    <mergeCell ref="A36:N36"/>
    <mergeCell ref="C38:H38"/>
    <mergeCell ref="A43:H43"/>
    <mergeCell ref="J43:M43"/>
    <mergeCell ref="C37:H37"/>
    <mergeCell ref="C39:H39"/>
    <mergeCell ref="C40:H40"/>
    <mergeCell ref="C41:H41"/>
  </mergeCells>
  <printOptions/>
  <pageMargins left="0.511811024" right="0.511811024" top="0.787401575" bottom="0.787401575" header="0.31496062" footer="0.31496062"/>
  <pageSetup fitToHeight="0" fitToWidth="1" orientation="portrait" paperSize="9" scale="2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"/>
  <dimension ref="B2:V89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2.28125" style="312" customWidth="1"/>
    <col min="2" max="3" width="6.00390625" style="312" customWidth="1"/>
    <col min="4" max="4" width="10.421875" style="312" customWidth="1"/>
    <col min="5" max="5" width="20.140625" style="312" customWidth="1"/>
    <col min="6" max="6" width="27.57421875" style="312" customWidth="1"/>
    <col min="7" max="7" width="11.28125" style="312" customWidth="1"/>
    <col min="8" max="8" width="11.00390625" style="313" customWidth="1"/>
    <col min="9" max="9" width="9.140625" style="312" customWidth="1"/>
    <col min="10" max="10" width="2.7109375" style="312" customWidth="1"/>
    <col min="11" max="14" width="9.140625" style="314" customWidth="1"/>
    <col min="15" max="27" width="0" style="312" hidden="1" customWidth="1"/>
    <col min="28" max="16384" width="9.140625" style="312" customWidth="1"/>
  </cols>
  <sheetData>
    <row r="2" ht="13.5">
      <c r="B2" s="311" t="s">
        <v>143</v>
      </c>
    </row>
    <row r="3" ht="13.5">
      <c r="B3" s="311" t="s">
        <v>144</v>
      </c>
    </row>
    <row r="4" ht="13.5">
      <c r="B4" s="311"/>
    </row>
    <row r="5" spans="6:10" ht="13.5">
      <c r="F5" s="315" t="str">
        <f>IF(E6="Empresa","digite o nome da empresa","digite o nome do Município")</f>
        <v>digite o nome do Município</v>
      </c>
      <c r="G5" s="316"/>
      <c r="H5" s="317" t="s">
        <v>145</v>
      </c>
      <c r="I5" s="316" t="s">
        <v>146</v>
      </c>
      <c r="J5" s="318"/>
    </row>
    <row r="6" spans="2:17" ht="13.5">
      <c r="B6" s="319" t="s">
        <v>147</v>
      </c>
      <c r="E6" s="320" t="s">
        <v>145</v>
      </c>
      <c r="F6" s="321" t="s">
        <v>424</v>
      </c>
      <c r="G6" s="314" t="str">
        <f>IF(E6="empresa","",E6)</f>
        <v>Prefeitura Municipal de</v>
      </c>
      <c r="H6" s="322"/>
      <c r="I6" s="322"/>
      <c r="J6" s="323"/>
      <c r="L6" s="324"/>
      <c r="O6" s="325"/>
      <c r="P6" s="325"/>
      <c r="Q6" s="325"/>
    </row>
    <row r="7" spans="2:17" ht="13.5">
      <c r="B7" s="319" t="s">
        <v>148</v>
      </c>
      <c r="E7" s="704" t="str">
        <f>F6</f>
        <v>Fontoura Xavier</v>
      </c>
      <c r="F7" s="705"/>
      <c r="G7" s="314"/>
      <c r="H7" s="322"/>
      <c r="I7" s="322"/>
      <c r="J7" s="323"/>
      <c r="L7" s="324"/>
      <c r="O7" s="325"/>
      <c r="P7" s="325"/>
      <c r="Q7" s="325"/>
    </row>
    <row r="8" spans="2:17" ht="12.75">
      <c r="B8" s="319" t="s">
        <v>149</v>
      </c>
      <c r="E8" s="702"/>
      <c r="F8" s="703"/>
      <c r="H8" s="326"/>
      <c r="I8" s="326"/>
      <c r="J8" s="323"/>
      <c r="O8" s="325"/>
      <c r="P8" s="325"/>
      <c r="Q8" s="325"/>
    </row>
    <row r="9" spans="2:17" ht="25.5" customHeight="1">
      <c r="B9" s="327" t="s">
        <v>150</v>
      </c>
      <c r="E9" s="706" t="str">
        <f>Orçamento!A2</f>
        <v>Obra: Pavimentação Asfáltica da Estrada de Ligação à BR-386</v>
      </c>
      <c r="F9" s="707"/>
      <c r="H9" s="326"/>
      <c r="I9" s="326"/>
      <c r="J9" s="323"/>
      <c r="O9" s="325"/>
      <c r="P9" s="325"/>
      <c r="Q9" s="325"/>
    </row>
    <row r="10" spans="2:17" ht="12.75">
      <c r="B10" s="319" t="s">
        <v>151</v>
      </c>
      <c r="E10" s="702" t="s">
        <v>163</v>
      </c>
      <c r="F10" s="703"/>
      <c r="H10" s="326"/>
      <c r="I10" s="326"/>
      <c r="J10" s="323"/>
      <c r="O10" s="325"/>
      <c r="P10" s="325"/>
      <c r="Q10" s="325"/>
    </row>
    <row r="11" spans="2:17" ht="13.5">
      <c r="B11" s="319" t="s">
        <v>153</v>
      </c>
      <c r="E11" s="708" t="str">
        <f>Orçamento!A81</f>
        <v>SINAPI 05/2021</v>
      </c>
      <c r="F11" s="705"/>
      <c r="H11" s="326"/>
      <c r="I11" s="326"/>
      <c r="J11" s="323"/>
      <c r="O11" s="325"/>
      <c r="P11" s="325"/>
      <c r="Q11" s="325"/>
    </row>
    <row r="12" spans="2:17" ht="13.5">
      <c r="B12" s="319"/>
      <c r="E12" s="326"/>
      <c r="F12" s="326"/>
      <c r="H12" s="326"/>
      <c r="I12" s="326"/>
      <c r="J12" s="323"/>
      <c r="O12" s="325"/>
      <c r="P12" s="325"/>
      <c r="Q12" s="325"/>
    </row>
    <row r="13" spans="2:22" ht="13.5">
      <c r="B13" s="319" t="s">
        <v>154</v>
      </c>
      <c r="E13" s="701"/>
      <c r="F13" s="701"/>
      <c r="H13" s="326"/>
      <c r="I13" s="326"/>
      <c r="J13" s="323"/>
      <c r="O13" s="325"/>
      <c r="P13" s="325"/>
      <c r="Q13" s="328" t="s">
        <v>145</v>
      </c>
      <c r="R13" s="328" t="s">
        <v>163</v>
      </c>
      <c r="S13" s="328" t="s">
        <v>155</v>
      </c>
      <c r="T13" s="328" t="s">
        <v>161</v>
      </c>
      <c r="U13" s="328" t="s">
        <v>166</v>
      </c>
      <c r="V13" s="328" t="s">
        <v>176</v>
      </c>
    </row>
    <row r="14" spans="2:22" ht="13.5">
      <c r="B14" s="700" t="s">
        <v>155</v>
      </c>
      <c r="C14" s="700"/>
      <c r="D14" s="700"/>
      <c r="E14" s="701"/>
      <c r="F14" s="701"/>
      <c r="H14" s="322" t="s">
        <v>156</v>
      </c>
      <c r="I14" s="322" t="s">
        <v>157</v>
      </c>
      <c r="J14" s="323"/>
      <c r="O14" s="325"/>
      <c r="P14" s="325"/>
      <c r="Q14" s="328" t="s">
        <v>146</v>
      </c>
      <c r="R14" s="328" t="s">
        <v>152</v>
      </c>
      <c r="S14" s="328" t="s">
        <v>248</v>
      </c>
      <c r="T14" s="328" t="s">
        <v>162</v>
      </c>
      <c r="U14" s="328" t="s">
        <v>167</v>
      </c>
      <c r="V14" s="328" t="s">
        <v>171</v>
      </c>
    </row>
    <row r="15" spans="2:22" ht="13.5">
      <c r="B15" s="329"/>
      <c r="C15" s="329"/>
      <c r="D15" s="329"/>
      <c r="E15" s="330"/>
      <c r="F15" s="330"/>
      <c r="H15" s="322"/>
      <c r="I15" s="322"/>
      <c r="J15" s="323"/>
      <c r="O15" s="325"/>
      <c r="P15" s="325"/>
      <c r="Q15" s="328"/>
      <c r="R15" s="328"/>
      <c r="S15" s="328"/>
      <c r="T15" s="328"/>
      <c r="U15" s="328"/>
      <c r="V15" s="328" t="s">
        <v>183</v>
      </c>
    </row>
    <row r="16" spans="2:22" ht="13.5">
      <c r="B16" s="319" t="s">
        <v>158</v>
      </c>
      <c r="E16" s="701"/>
      <c r="F16" s="701"/>
      <c r="H16" s="322"/>
      <c r="I16" s="322"/>
      <c r="J16" s="323"/>
      <c r="O16" s="325"/>
      <c r="P16" s="325"/>
      <c r="Q16" s="328"/>
      <c r="R16" s="328"/>
      <c r="S16" s="328"/>
      <c r="T16" s="328"/>
      <c r="U16" s="328"/>
      <c r="V16" s="328" t="s">
        <v>187</v>
      </c>
    </row>
    <row r="17" spans="2:22" ht="13.5">
      <c r="B17" s="319" t="s">
        <v>159</v>
      </c>
      <c r="E17" s="701"/>
      <c r="F17" s="701"/>
      <c r="H17" s="322"/>
      <c r="I17" s="322"/>
      <c r="J17" s="323"/>
      <c r="O17" s="325"/>
      <c r="P17" s="325"/>
      <c r="Q17" s="328"/>
      <c r="R17" s="328"/>
      <c r="S17" s="328"/>
      <c r="T17" s="328"/>
      <c r="U17" s="328"/>
      <c r="V17" s="328" t="s">
        <v>191</v>
      </c>
    </row>
    <row r="18" spans="8:22" ht="13.5">
      <c r="H18" s="322"/>
      <c r="I18" s="322"/>
      <c r="J18" s="323"/>
      <c r="O18" s="325"/>
      <c r="P18" s="325"/>
      <c r="Q18" s="328"/>
      <c r="R18" s="328"/>
      <c r="S18" s="328"/>
      <c r="T18" s="328"/>
      <c r="U18" s="328"/>
      <c r="V18" s="328" t="s">
        <v>195</v>
      </c>
    </row>
    <row r="19" spans="2:17" ht="13.5">
      <c r="B19" s="319" t="s">
        <v>160</v>
      </c>
      <c r="E19" s="701" t="s">
        <v>162</v>
      </c>
      <c r="F19" s="701"/>
      <c r="G19" s="314" t="s">
        <v>161</v>
      </c>
      <c r="H19" s="314" t="s">
        <v>162</v>
      </c>
      <c r="I19" s="316"/>
      <c r="J19" s="323"/>
      <c r="L19" s="314" t="s">
        <v>163</v>
      </c>
      <c r="M19" s="314" t="s">
        <v>152</v>
      </c>
      <c r="O19" s="325"/>
      <c r="P19" s="325"/>
      <c r="Q19" s="325"/>
    </row>
    <row r="20" spans="2:17" ht="13.5">
      <c r="B20" s="319"/>
      <c r="E20" s="319"/>
      <c r="F20" s="318"/>
      <c r="H20" s="318"/>
      <c r="I20" s="318"/>
      <c r="J20" s="323"/>
      <c r="O20" s="325"/>
      <c r="P20" s="325"/>
      <c r="Q20" s="325"/>
    </row>
    <row r="21" spans="2:17" ht="13.5">
      <c r="B21" s="319" t="s">
        <v>164</v>
      </c>
      <c r="E21" s="331">
        <v>2.5</v>
      </c>
      <c r="F21" s="318" t="s">
        <v>42</v>
      </c>
      <c r="G21" s="314">
        <v>2</v>
      </c>
      <c r="H21" s="316">
        <v>5</v>
      </c>
      <c r="I21" s="316"/>
      <c r="J21" s="323"/>
      <c r="O21" s="325"/>
      <c r="P21" s="325"/>
      <c r="Q21" s="325"/>
    </row>
    <row r="22" spans="2:17" ht="13.5">
      <c r="B22" s="319" t="s">
        <v>165</v>
      </c>
      <c r="E22" s="702" t="s">
        <v>166</v>
      </c>
      <c r="F22" s="703"/>
      <c r="G22" s="314"/>
      <c r="H22" s="322"/>
      <c r="I22" s="322"/>
      <c r="J22" s="323"/>
      <c r="L22" s="314" t="s">
        <v>167</v>
      </c>
      <c r="M22" s="314" t="s">
        <v>166</v>
      </c>
      <c r="O22" s="325"/>
      <c r="P22" s="325"/>
      <c r="Q22" s="325"/>
    </row>
    <row r="23" spans="2:17" ht="12.75" customHeight="1">
      <c r="B23" s="687" t="s">
        <v>168</v>
      </c>
      <c r="C23" s="687"/>
      <c r="D23" s="687"/>
      <c r="E23" s="332">
        <v>20</v>
      </c>
      <c r="F23" s="318" t="s">
        <v>42</v>
      </c>
      <c r="H23" s="318"/>
      <c r="I23" s="318"/>
      <c r="J23" s="323"/>
      <c r="O23" s="325"/>
      <c r="P23" s="325"/>
      <c r="Q23" s="325"/>
    </row>
    <row r="24" spans="2:17" ht="13.5">
      <c r="B24" s="687"/>
      <c r="C24" s="687"/>
      <c r="D24" s="687"/>
      <c r="G24" s="318"/>
      <c r="H24" s="333"/>
      <c r="I24" s="318"/>
      <c r="J24" s="323"/>
      <c r="O24" s="325"/>
      <c r="P24" s="325"/>
      <c r="Q24" s="325"/>
    </row>
    <row r="25" spans="2:17" ht="5.25" customHeight="1">
      <c r="B25" s="687"/>
      <c r="C25" s="687"/>
      <c r="D25" s="687"/>
      <c r="G25" s="318"/>
      <c r="H25" s="333"/>
      <c r="I25" s="318"/>
      <c r="J25" s="323"/>
      <c r="O25" s="325"/>
      <c r="P25" s="325"/>
      <c r="Q25" s="325"/>
    </row>
    <row r="26" spans="2:17" ht="5.25" customHeight="1">
      <c r="B26" s="687"/>
      <c r="C26" s="687"/>
      <c r="D26" s="687"/>
      <c r="J26" s="325"/>
      <c r="O26" s="325"/>
      <c r="P26" s="325"/>
      <c r="Q26" s="325"/>
    </row>
    <row r="27" ht="5.25" customHeight="1"/>
    <row r="28" ht="5.25" customHeight="1" thickBot="1"/>
    <row r="29" spans="2:17" ht="15.75" thickBot="1">
      <c r="B29" s="688" t="s">
        <v>169</v>
      </c>
      <c r="C29" s="689"/>
      <c r="D29" s="689"/>
      <c r="E29" s="689"/>
      <c r="F29" s="689"/>
      <c r="G29" s="689"/>
      <c r="H29" s="689"/>
      <c r="I29" s="690"/>
      <c r="O29" s="314"/>
      <c r="P29" s="314"/>
      <c r="Q29" s="314"/>
    </row>
    <row r="30" spans="15:17" ht="6" customHeight="1" thickBot="1">
      <c r="O30" s="314"/>
      <c r="P30" s="314"/>
      <c r="Q30" s="314"/>
    </row>
    <row r="31" spans="2:17" ht="26.25" customHeight="1" thickBot="1">
      <c r="B31" s="691" t="s">
        <v>170</v>
      </c>
      <c r="C31" s="692"/>
      <c r="D31" s="693" t="s">
        <v>171</v>
      </c>
      <c r="E31" s="693"/>
      <c r="F31" s="693"/>
      <c r="G31" s="693"/>
      <c r="H31" s="693"/>
      <c r="I31" s="694"/>
      <c r="O31" s="314"/>
      <c r="P31" s="314"/>
      <c r="Q31" s="314"/>
    </row>
    <row r="32" spans="15:17" ht="5.25" customHeight="1" thickBot="1">
      <c r="O32" s="314"/>
      <c r="P32" s="314"/>
      <c r="Q32" s="314"/>
    </row>
    <row r="33" spans="2:17" ht="14.25" thickBot="1">
      <c r="B33" s="695" t="s">
        <v>172</v>
      </c>
      <c r="C33" s="696"/>
      <c r="D33" s="696"/>
      <c r="E33" s="696"/>
      <c r="F33" s="696"/>
      <c r="G33" s="334" t="s">
        <v>173</v>
      </c>
      <c r="H33" s="334" t="s">
        <v>174</v>
      </c>
      <c r="I33" s="335" t="s">
        <v>175</v>
      </c>
      <c r="M33" s="314" t="s">
        <v>176</v>
      </c>
      <c r="O33" s="314"/>
      <c r="P33" s="314" t="s">
        <v>177</v>
      </c>
      <c r="Q33" s="314" t="s">
        <v>175</v>
      </c>
    </row>
    <row r="34" spans="2:17" ht="13.5">
      <c r="B34" s="336" t="s">
        <v>178</v>
      </c>
      <c r="C34" s="697" t="s">
        <v>179</v>
      </c>
      <c r="D34" s="698"/>
      <c r="E34" s="698"/>
      <c r="F34" s="699"/>
      <c r="G34" s="337">
        <v>4.67</v>
      </c>
      <c r="H34" s="338">
        <f>VLOOKUP(J34,$O$34:$Q$74,2,FALSE)</f>
        <v>3.8</v>
      </c>
      <c r="I34" s="338">
        <f>VLOOKUP(J34,$O$34:$Q$74,3,FALSE)</f>
        <v>4.67</v>
      </c>
      <c r="J34" s="314" t="str">
        <f>CONCATENATE(LEFT($D$31,1),"a")</f>
        <v>2a</v>
      </c>
      <c r="K34" s="314">
        <v>0</v>
      </c>
      <c r="L34" s="314">
        <f>IF($G$51&gt;$I$51,I34,10000)</f>
        <v>10000</v>
      </c>
      <c r="M34" s="314" t="s">
        <v>171</v>
      </c>
      <c r="O34" s="314" t="s">
        <v>180</v>
      </c>
      <c r="P34" s="339">
        <v>3</v>
      </c>
      <c r="Q34" s="339">
        <v>5.5</v>
      </c>
    </row>
    <row r="35" spans="2:17" ht="13.5">
      <c r="B35" s="340" t="s">
        <v>181</v>
      </c>
      <c r="C35" s="675" t="s">
        <v>182</v>
      </c>
      <c r="D35" s="676"/>
      <c r="E35" s="676"/>
      <c r="F35" s="677"/>
      <c r="G35" s="337">
        <v>0.74</v>
      </c>
      <c r="H35" s="338">
        <f>VLOOKUP(J35,$O$34:$Q$74,2,FALSE)</f>
        <v>0.32</v>
      </c>
      <c r="I35" s="338">
        <f>VLOOKUP(J35,$O$34:$Q$74,3,FALSE)</f>
        <v>0.74</v>
      </c>
      <c r="J35" s="314" t="str">
        <f>CONCATENATE(LEFT($D$31,1),"b")</f>
        <v>2b</v>
      </c>
      <c r="K35" s="314">
        <v>0</v>
      </c>
      <c r="L35" s="314">
        <f>IF($G$51&gt;$I$51,I35,10000)</f>
        <v>10000</v>
      </c>
      <c r="M35" s="314" t="s">
        <v>183</v>
      </c>
      <c r="O35" s="314" t="s">
        <v>184</v>
      </c>
      <c r="P35" s="339">
        <v>0.8</v>
      </c>
      <c r="Q35" s="339">
        <v>1</v>
      </c>
    </row>
    <row r="36" spans="2:17" ht="13.5">
      <c r="B36" s="340" t="s">
        <v>185</v>
      </c>
      <c r="C36" s="675" t="s">
        <v>186</v>
      </c>
      <c r="D36" s="676"/>
      <c r="E36" s="676"/>
      <c r="F36" s="677"/>
      <c r="G36" s="337">
        <v>0.97</v>
      </c>
      <c r="H36" s="338">
        <f>VLOOKUP(J36,$O$34:$Q$74,2,FALSE)</f>
        <v>0.5</v>
      </c>
      <c r="I36" s="338">
        <f>VLOOKUP(J36,$O$34:$Q$74,3,FALSE)</f>
        <v>0.97</v>
      </c>
      <c r="J36" s="314" t="str">
        <f>CONCATENATE(LEFT($D$31,1),"c")</f>
        <v>2c</v>
      </c>
      <c r="K36" s="314">
        <v>0</v>
      </c>
      <c r="L36" s="314">
        <f>IF($G$51&gt;$I$51,I36,10000)</f>
        <v>10000</v>
      </c>
      <c r="M36" s="314" t="s">
        <v>187</v>
      </c>
      <c r="O36" s="314" t="s">
        <v>188</v>
      </c>
      <c r="P36" s="339">
        <v>0.97</v>
      </c>
      <c r="Q36" s="339">
        <v>1.27</v>
      </c>
    </row>
    <row r="37" spans="2:17" ht="13.5">
      <c r="B37" s="340" t="s">
        <v>189</v>
      </c>
      <c r="C37" s="675" t="s">
        <v>190</v>
      </c>
      <c r="D37" s="676"/>
      <c r="E37" s="676"/>
      <c r="F37" s="677"/>
      <c r="G37" s="337">
        <v>1.21</v>
      </c>
      <c r="H37" s="338">
        <f>VLOOKUP(J37,$O$34:$Q$74,2,FALSE)</f>
        <v>1.02</v>
      </c>
      <c r="I37" s="338">
        <f>VLOOKUP(J37,$O$34:$Q$74,3,FALSE)</f>
        <v>1.21</v>
      </c>
      <c r="J37" s="314" t="str">
        <f>CONCATENATE(LEFT($D$31,1),"d")</f>
        <v>2d</v>
      </c>
      <c r="K37" s="314">
        <v>0</v>
      </c>
      <c r="L37" s="314">
        <f>IF($G$51&gt;$I$51,I37,10000)</f>
        <v>10000</v>
      </c>
      <c r="M37" s="314" t="s">
        <v>191</v>
      </c>
      <c r="O37" s="314" t="s">
        <v>192</v>
      </c>
      <c r="P37" s="339">
        <v>0.59</v>
      </c>
      <c r="Q37" s="339">
        <v>1.39</v>
      </c>
    </row>
    <row r="38" spans="2:17" ht="13.5">
      <c r="B38" s="340" t="s">
        <v>193</v>
      </c>
      <c r="C38" s="675" t="s">
        <v>194</v>
      </c>
      <c r="D38" s="676"/>
      <c r="E38" s="676"/>
      <c r="F38" s="677"/>
      <c r="G38" s="337">
        <v>8.69</v>
      </c>
      <c r="H38" s="338">
        <f>VLOOKUP(J38,$O$34:$Q$74,2,FALSE)</f>
        <v>6.64</v>
      </c>
      <c r="I38" s="338">
        <f>VLOOKUP(J38,$O$34:$Q$74,3,FALSE)</f>
        <v>8.69</v>
      </c>
      <c r="J38" s="314" t="str">
        <f>CONCATENATE(LEFT($D$31,1),"e")</f>
        <v>2e</v>
      </c>
      <c r="K38" s="314">
        <v>0</v>
      </c>
      <c r="L38" s="314">
        <f>IF($G$51&gt;$I$51,I38,10000)</f>
        <v>10000</v>
      </c>
      <c r="M38" s="314" t="s">
        <v>195</v>
      </c>
      <c r="O38" s="314" t="s">
        <v>196</v>
      </c>
      <c r="P38" s="339">
        <v>6.16</v>
      </c>
      <c r="Q38" s="339">
        <v>8.96</v>
      </c>
    </row>
    <row r="39" spans="2:17" ht="13.5">
      <c r="B39" s="340" t="s">
        <v>197</v>
      </c>
      <c r="C39" s="678" t="s">
        <v>198</v>
      </c>
      <c r="D39" s="679"/>
      <c r="E39" s="679"/>
      <c r="F39" s="680"/>
      <c r="G39" s="344">
        <f>G40+G41+G42</f>
        <v>4.15</v>
      </c>
      <c r="H39" s="681" t="s">
        <v>199</v>
      </c>
      <c r="I39" s="682"/>
      <c r="O39" s="314" t="s">
        <v>200</v>
      </c>
      <c r="P39" s="339">
        <v>3.8</v>
      </c>
      <c r="Q39" s="339">
        <v>4.67</v>
      </c>
    </row>
    <row r="40" spans="2:17" ht="13.5">
      <c r="B40" s="340"/>
      <c r="C40" s="341"/>
      <c r="D40" s="342" t="s">
        <v>87</v>
      </c>
      <c r="E40" s="342"/>
      <c r="F40" s="345"/>
      <c r="G40" s="337">
        <v>0.65</v>
      </c>
      <c r="H40" s="683"/>
      <c r="I40" s="684"/>
      <c r="K40" s="314">
        <v>0</v>
      </c>
      <c r="L40" s="314">
        <f>IF($G$51&gt;$I$51,3,10000)</f>
        <v>10000</v>
      </c>
      <c r="O40" s="314"/>
      <c r="P40" s="339"/>
      <c r="Q40" s="339"/>
    </row>
    <row r="41" spans="2:17" ht="13.5">
      <c r="B41" s="340"/>
      <c r="C41" s="346"/>
      <c r="D41" s="347" t="s">
        <v>88</v>
      </c>
      <c r="E41" s="346"/>
      <c r="F41" s="348"/>
      <c r="G41" s="337">
        <v>3</v>
      </c>
      <c r="H41" s="683"/>
      <c r="I41" s="684"/>
      <c r="K41" s="314">
        <v>0</v>
      </c>
      <c r="L41" s="314">
        <f>IF($G$51&gt;$I$51,0.65,10000)</f>
        <v>10000</v>
      </c>
      <c r="O41" s="314"/>
      <c r="P41" s="339"/>
      <c r="Q41" s="339"/>
    </row>
    <row r="42" spans="2:17" ht="13.5">
      <c r="B42" s="340"/>
      <c r="C42" s="341"/>
      <c r="D42" s="343" t="s">
        <v>201</v>
      </c>
      <c r="E42" s="341"/>
      <c r="F42" s="345"/>
      <c r="G42" s="344">
        <f>IF(E22="valor total da obra",$E$21,$E$21*$E$23/100)</f>
        <v>0.5</v>
      </c>
      <c r="H42" s="683"/>
      <c r="I42" s="684"/>
      <c r="O42" s="314"/>
      <c r="P42" s="339"/>
      <c r="Q42" s="339"/>
    </row>
    <row r="43" spans="2:17" ht="13.5">
      <c r="B43" s="340"/>
      <c r="C43" s="341"/>
      <c r="D43" s="343" t="s">
        <v>202</v>
      </c>
      <c r="E43" s="341"/>
      <c r="F43" s="345"/>
      <c r="G43" s="344">
        <f>IF(E10="desonerados",4.5,0)</f>
        <v>0</v>
      </c>
      <c r="H43" s="683"/>
      <c r="I43" s="684"/>
      <c r="O43" s="314"/>
      <c r="P43" s="339"/>
      <c r="Q43" s="339"/>
    </row>
    <row r="44" spans="2:17" ht="13.5">
      <c r="B44" s="340" t="s">
        <v>197</v>
      </c>
      <c r="C44" s="675" t="s">
        <v>203</v>
      </c>
      <c r="D44" s="676"/>
      <c r="E44" s="676"/>
      <c r="F44" s="677"/>
      <c r="G44" s="344">
        <f>IF(E10="desonerados",SUM(G40:G43),G39)</f>
        <v>4.15</v>
      </c>
      <c r="H44" s="685"/>
      <c r="I44" s="686"/>
      <c r="O44" s="314" t="s">
        <v>204</v>
      </c>
      <c r="P44" s="339">
        <v>0.32</v>
      </c>
      <c r="Q44" s="339">
        <v>0.74</v>
      </c>
    </row>
    <row r="45" spans="15:17" ht="4.5" customHeight="1" thickBot="1">
      <c r="O45" s="314" t="s">
        <v>205</v>
      </c>
      <c r="P45" s="339">
        <v>0.5</v>
      </c>
      <c r="Q45" s="339">
        <v>0.97</v>
      </c>
    </row>
    <row r="46" spans="2:17" ht="14.25" thickBot="1">
      <c r="B46" s="664" t="s">
        <v>206</v>
      </c>
      <c r="C46" s="665"/>
      <c r="D46" s="665"/>
      <c r="E46" s="665"/>
      <c r="F46" s="665"/>
      <c r="G46" s="666"/>
      <c r="H46" s="349"/>
      <c r="O46" s="314" t="s">
        <v>207</v>
      </c>
      <c r="P46" s="339">
        <v>1.02</v>
      </c>
      <c r="Q46" s="339">
        <v>1.21</v>
      </c>
    </row>
    <row r="47" spans="2:17" ht="22.5" customHeight="1">
      <c r="B47" s="667"/>
      <c r="C47" s="669" t="s">
        <v>208</v>
      </c>
      <c r="D47" s="671" t="s">
        <v>209</v>
      </c>
      <c r="E47" s="671"/>
      <c r="F47" s="671"/>
      <c r="G47" s="672">
        <v>-1</v>
      </c>
      <c r="O47" s="314" t="s">
        <v>210</v>
      </c>
      <c r="P47" s="339">
        <v>6.64</v>
      </c>
      <c r="Q47" s="339">
        <v>8.69</v>
      </c>
    </row>
    <row r="48" spans="2:17" ht="21" customHeight="1" thickBot="1">
      <c r="B48" s="668"/>
      <c r="C48" s="670"/>
      <c r="D48" s="674" t="s">
        <v>211</v>
      </c>
      <c r="E48" s="674"/>
      <c r="F48" s="674"/>
      <c r="G48" s="673"/>
      <c r="O48" s="314" t="s">
        <v>212</v>
      </c>
      <c r="P48" s="339">
        <v>3.43</v>
      </c>
      <c r="Q48" s="339">
        <v>6.71</v>
      </c>
    </row>
    <row r="49" spans="15:17" ht="3" customHeight="1" thickBot="1">
      <c r="O49" s="314" t="s">
        <v>213</v>
      </c>
      <c r="P49" s="339">
        <v>0.28</v>
      </c>
      <c r="Q49" s="339">
        <v>0.75</v>
      </c>
    </row>
    <row r="50" spans="2:17" ht="15" customHeight="1" thickBot="1">
      <c r="B50" s="658" t="s">
        <v>214</v>
      </c>
      <c r="C50" s="659"/>
      <c r="D50" s="659"/>
      <c r="E50" s="659"/>
      <c r="F50" s="659"/>
      <c r="G50" s="659"/>
      <c r="H50" s="351" t="s">
        <v>174</v>
      </c>
      <c r="I50" s="352" t="s">
        <v>175</v>
      </c>
      <c r="O50" s="314" t="s">
        <v>215</v>
      </c>
      <c r="P50" s="339">
        <v>1</v>
      </c>
      <c r="Q50" s="339">
        <v>1.74</v>
      </c>
    </row>
    <row r="51" spans="2:17" ht="15">
      <c r="B51" s="660" t="str">
        <f>IF(G51&gt;I51,"BDI Sem Desoneração: ! FORA DOS LIMITES !",IF(G51&lt;H51,"BDI Sem Desoneração: ! FORA DOS LIMITES !","BDI Sem Desoneração:"))</f>
        <v>BDI Sem Desoneração:</v>
      </c>
      <c r="C51" s="660"/>
      <c r="D51" s="660"/>
      <c r="E51" s="660"/>
      <c r="F51" s="660"/>
      <c r="G51" s="353">
        <f>100*ROUND((((1+G34/100+G35/100+G36/100)*(1+G37/100)*(1+G38/100))/(1-G39/100))-1,4)</f>
        <v>22.09</v>
      </c>
      <c r="H51" s="338">
        <f>VLOOKUP(J51,$O$34:$Q$74,2,FALSE)</f>
        <v>19.6</v>
      </c>
      <c r="I51" s="338">
        <f>VLOOKUP(J51,$O$34:$Q$74,3,FALSE)</f>
        <v>24.23</v>
      </c>
      <c r="J51" s="314" t="str">
        <f>CONCATENATE(LEFT($D$31,1),"F")</f>
        <v>2F</v>
      </c>
      <c r="O51" s="314" t="s">
        <v>216</v>
      </c>
      <c r="P51" s="339">
        <v>0.94</v>
      </c>
      <c r="Q51" s="339">
        <v>1.17</v>
      </c>
    </row>
    <row r="52" spans="2:17" ht="15">
      <c r="B52" s="660" t="s">
        <v>217</v>
      </c>
      <c r="C52" s="660"/>
      <c r="D52" s="660"/>
      <c r="E52" s="660"/>
      <c r="F52" s="660"/>
      <c r="G52" s="354">
        <f>100*ROUND((((1+G34/100+G35/100+G36/100)*(1+G37/100)*(1+G38/100))/(1-G44/100))-1,4)</f>
        <v>22.09</v>
      </c>
      <c r="H52" s="340"/>
      <c r="I52" s="340"/>
      <c r="J52" s="314">
        <f>IF(G51&gt;I51,1,IF(G51&lt;H51,1,0))</f>
        <v>0</v>
      </c>
      <c r="O52" s="314" t="s">
        <v>218</v>
      </c>
      <c r="P52" s="339">
        <v>6.74</v>
      </c>
      <c r="Q52" s="339">
        <v>9.4</v>
      </c>
    </row>
    <row r="53" spans="2:17" ht="9" customHeight="1">
      <c r="B53" s="355"/>
      <c r="C53" s="355"/>
      <c r="D53" s="355"/>
      <c r="E53" s="355"/>
      <c r="F53" s="355"/>
      <c r="G53" s="356"/>
      <c r="H53" s="333"/>
      <c r="I53" s="333"/>
      <c r="J53" s="314"/>
      <c r="O53" s="314"/>
      <c r="P53" s="339"/>
      <c r="Q53" s="339"/>
    </row>
    <row r="54" spans="2:17" ht="71.25" customHeight="1">
      <c r="B54" s="661" t="s">
        <v>219</v>
      </c>
      <c r="C54" s="661"/>
      <c r="D54" s="661"/>
      <c r="E54" s="661"/>
      <c r="F54" s="661"/>
      <c r="G54" s="661"/>
      <c r="H54" s="661"/>
      <c r="I54" s="661"/>
      <c r="O54" s="314"/>
      <c r="P54" s="339"/>
      <c r="Q54" s="339"/>
    </row>
    <row r="55" spans="2:17" ht="46.5" customHeight="1">
      <c r="B55" s="662" t="s">
        <v>220</v>
      </c>
      <c r="C55" s="662"/>
      <c r="D55" s="662"/>
      <c r="E55" s="662"/>
      <c r="F55" s="662"/>
      <c r="G55" s="662"/>
      <c r="H55" s="662"/>
      <c r="I55" s="662"/>
      <c r="O55" s="314" t="s">
        <v>221</v>
      </c>
      <c r="P55" s="339">
        <v>0.25</v>
      </c>
      <c r="Q55" s="339">
        <v>0.56</v>
      </c>
    </row>
    <row r="56" spans="2:17" ht="11.25" customHeight="1">
      <c r="B56" s="663" t="s">
        <v>222</v>
      </c>
      <c r="C56" s="663"/>
      <c r="D56" s="663"/>
      <c r="E56" s="663"/>
      <c r="F56" s="663"/>
      <c r="G56" s="663"/>
      <c r="H56" s="663"/>
      <c r="I56" s="663"/>
      <c r="O56" s="314" t="s">
        <v>223</v>
      </c>
      <c r="P56" s="339">
        <v>1</v>
      </c>
      <c r="Q56" s="339">
        <v>1.97</v>
      </c>
    </row>
    <row r="57" spans="2:17" ht="15.75" customHeight="1">
      <c r="B57" s="663"/>
      <c r="C57" s="663"/>
      <c r="D57" s="663"/>
      <c r="E57" s="663"/>
      <c r="F57" s="663"/>
      <c r="G57" s="663"/>
      <c r="H57" s="663"/>
      <c r="I57" s="663"/>
      <c r="O57" s="314" t="s">
        <v>224</v>
      </c>
      <c r="P57" s="339">
        <v>1.01</v>
      </c>
      <c r="Q57" s="339">
        <v>1.11</v>
      </c>
    </row>
    <row r="58" spans="15:17" ht="68.25" customHeight="1">
      <c r="O58" s="314" t="s">
        <v>225</v>
      </c>
      <c r="P58" s="339">
        <v>8</v>
      </c>
      <c r="Q58" s="339">
        <v>9.51</v>
      </c>
    </row>
    <row r="59" spans="15:17" ht="68.25" customHeight="1">
      <c r="O59" s="314" t="s">
        <v>226</v>
      </c>
      <c r="P59" s="339">
        <v>4</v>
      </c>
      <c r="Q59" s="339">
        <v>7.85</v>
      </c>
    </row>
    <row r="60" spans="15:17" ht="13.5">
      <c r="O60" s="314" t="s">
        <v>227</v>
      </c>
      <c r="P60" s="339">
        <v>0.81</v>
      </c>
      <c r="Q60" s="339">
        <v>1.99</v>
      </c>
    </row>
    <row r="61" spans="15:17" ht="13.5">
      <c r="O61" s="314" t="s">
        <v>228</v>
      </c>
      <c r="P61" s="339">
        <v>1.46</v>
      </c>
      <c r="Q61" s="339">
        <v>3.16</v>
      </c>
    </row>
    <row r="62" spans="15:17" ht="13.5">
      <c r="O62" s="314" t="s">
        <v>229</v>
      </c>
      <c r="P62" s="339">
        <v>0.94</v>
      </c>
      <c r="Q62" s="339">
        <v>1.33</v>
      </c>
    </row>
    <row r="63" spans="15:17" ht="13.5">
      <c r="O63" s="314" t="s">
        <v>230</v>
      </c>
      <c r="P63" s="339">
        <v>7.14</v>
      </c>
      <c r="Q63" s="339">
        <v>10.43</v>
      </c>
    </row>
    <row r="64" spans="15:17" ht="13.5">
      <c r="O64" s="314" t="s">
        <v>231</v>
      </c>
      <c r="P64" s="339">
        <v>1.5</v>
      </c>
      <c r="Q64" s="339">
        <v>4.49</v>
      </c>
    </row>
    <row r="65" spans="15:17" ht="13.5">
      <c r="O65" s="314" t="s">
        <v>232</v>
      </c>
      <c r="P65" s="339">
        <v>0.3</v>
      </c>
      <c r="Q65" s="339">
        <v>0.82</v>
      </c>
    </row>
    <row r="66" spans="15:17" ht="13.5">
      <c r="O66" s="314" t="s">
        <v>233</v>
      </c>
      <c r="P66" s="339">
        <v>0.56</v>
      </c>
      <c r="Q66" s="339">
        <v>0.89</v>
      </c>
    </row>
    <row r="67" spans="15:17" ht="13.5">
      <c r="O67" s="314" t="s">
        <v>234</v>
      </c>
      <c r="P67" s="339">
        <v>0.85</v>
      </c>
      <c r="Q67" s="339">
        <v>1.11</v>
      </c>
    </row>
    <row r="68" spans="15:17" ht="13.5">
      <c r="O68" s="314" t="s">
        <v>235</v>
      </c>
      <c r="P68" s="339">
        <v>3.5</v>
      </c>
      <c r="Q68" s="339">
        <v>6.22</v>
      </c>
    </row>
    <row r="69" spans="15:17" ht="13.5">
      <c r="O69" s="314" t="s">
        <v>236</v>
      </c>
      <c r="P69" s="339">
        <v>20.34</v>
      </c>
      <c r="Q69" s="339">
        <v>25</v>
      </c>
    </row>
    <row r="70" spans="15:17" ht="13.5">
      <c r="O70" s="314" t="s">
        <v>237</v>
      </c>
      <c r="P70" s="339">
        <v>19.6</v>
      </c>
      <c r="Q70" s="339">
        <v>24.23</v>
      </c>
    </row>
    <row r="71" spans="15:17" ht="13.5">
      <c r="O71" s="314" t="s">
        <v>238</v>
      </c>
      <c r="P71" s="339">
        <v>20.76</v>
      </c>
      <c r="Q71" s="339">
        <v>26.44</v>
      </c>
    </row>
    <row r="72" spans="15:17" ht="13.5">
      <c r="O72" s="314" t="s">
        <v>239</v>
      </c>
      <c r="P72" s="339">
        <v>24</v>
      </c>
      <c r="Q72" s="339">
        <v>27.86</v>
      </c>
    </row>
    <row r="73" spans="15:17" ht="13.5">
      <c r="O73" s="314" t="s">
        <v>240</v>
      </c>
      <c r="P73" s="339">
        <v>22.8</v>
      </c>
      <c r="Q73" s="339">
        <v>30.95</v>
      </c>
    </row>
    <row r="74" spans="15:17" ht="13.5">
      <c r="O74" s="314" t="s">
        <v>241</v>
      </c>
      <c r="P74" s="339">
        <v>11.1</v>
      </c>
      <c r="Q74" s="339">
        <v>16.8</v>
      </c>
    </row>
    <row r="75" spans="15:17" ht="13.5">
      <c r="O75" s="314"/>
      <c r="P75" s="314"/>
      <c r="Q75" s="314"/>
    </row>
    <row r="76" spans="15:17" ht="13.5">
      <c r="O76" s="314"/>
      <c r="P76" s="314"/>
      <c r="Q76" s="314"/>
    </row>
    <row r="77" spans="15:17" ht="13.5">
      <c r="O77" s="314"/>
      <c r="P77" s="314"/>
      <c r="Q77" s="314"/>
    </row>
    <row r="78" spans="15:17" ht="13.5">
      <c r="O78" s="314"/>
      <c r="P78" s="314"/>
      <c r="Q78" s="314"/>
    </row>
    <row r="79" spans="15:17" ht="13.5">
      <c r="O79" s="314"/>
      <c r="P79" s="314"/>
      <c r="Q79" s="314"/>
    </row>
    <row r="80" spans="15:17" ht="13.5">
      <c r="O80" s="314"/>
      <c r="P80" s="314"/>
      <c r="Q80" s="314"/>
    </row>
    <row r="81" spans="15:17" ht="13.5">
      <c r="O81" s="314"/>
      <c r="P81" s="314"/>
      <c r="Q81" s="314"/>
    </row>
    <row r="82" spans="15:17" ht="13.5">
      <c r="O82" s="314"/>
      <c r="P82" s="314"/>
      <c r="Q82" s="314"/>
    </row>
    <row r="83" spans="15:17" ht="13.5">
      <c r="O83" s="314"/>
      <c r="P83" s="314"/>
      <c r="Q83" s="314"/>
    </row>
    <row r="84" spans="15:17" ht="13.5">
      <c r="O84" s="314"/>
      <c r="P84" s="314"/>
      <c r="Q84" s="314"/>
    </row>
    <row r="85" spans="15:17" ht="13.5">
      <c r="O85" s="314"/>
      <c r="P85" s="314"/>
      <c r="Q85" s="314"/>
    </row>
    <row r="86" spans="15:17" ht="13.5">
      <c r="O86" s="314"/>
      <c r="P86" s="314"/>
      <c r="Q86" s="314"/>
    </row>
    <row r="87" spans="15:17" ht="13.5">
      <c r="O87" s="314"/>
      <c r="P87" s="314"/>
      <c r="Q87" s="314"/>
    </row>
    <row r="88" spans="15:17" ht="13.5">
      <c r="O88" s="314"/>
      <c r="P88" s="314"/>
      <c r="Q88" s="314"/>
    </row>
    <row r="89" spans="15:17" ht="13.5">
      <c r="O89" s="314"/>
      <c r="P89" s="314"/>
      <c r="Q89" s="314"/>
    </row>
  </sheetData>
  <sheetProtection/>
  <mergeCells count="37">
    <mergeCell ref="E7:F7"/>
    <mergeCell ref="E8:F8"/>
    <mergeCell ref="E9:F9"/>
    <mergeCell ref="E10:F10"/>
    <mergeCell ref="E11:F11"/>
    <mergeCell ref="E13:F13"/>
    <mergeCell ref="B14:D14"/>
    <mergeCell ref="E14:F14"/>
    <mergeCell ref="E16:F16"/>
    <mergeCell ref="E17:F17"/>
    <mergeCell ref="E19:F19"/>
    <mergeCell ref="E22:F22"/>
    <mergeCell ref="B23:D26"/>
    <mergeCell ref="B29:I29"/>
    <mergeCell ref="B31:C31"/>
    <mergeCell ref="D31:I31"/>
    <mergeCell ref="B33:F33"/>
    <mergeCell ref="C34:F34"/>
    <mergeCell ref="C35:F35"/>
    <mergeCell ref="C36:F36"/>
    <mergeCell ref="C37:F37"/>
    <mergeCell ref="C38:F38"/>
    <mergeCell ref="C39:F39"/>
    <mergeCell ref="H39:I44"/>
    <mergeCell ref="C44:F44"/>
    <mergeCell ref="B46:G46"/>
    <mergeCell ref="B47:B48"/>
    <mergeCell ref="C47:C48"/>
    <mergeCell ref="D47:F47"/>
    <mergeCell ref="G47:G48"/>
    <mergeCell ref="D48:F48"/>
    <mergeCell ref="B50:G50"/>
    <mergeCell ref="B51:F51"/>
    <mergeCell ref="B52:F52"/>
    <mergeCell ref="B54:I54"/>
    <mergeCell ref="B55:I55"/>
    <mergeCell ref="B56:I57"/>
  </mergeCells>
  <conditionalFormatting sqref="G34:G38 E21">
    <cfRule type="cellIs" priority="2" dxfId="12" operator="notBetween" stopIfTrue="1">
      <formula>$H21</formula>
      <formula>$I21</formula>
    </cfRule>
  </conditionalFormatting>
  <conditionalFormatting sqref="G51">
    <cfRule type="cellIs" priority="3" dxfId="13" operator="notBetween" stopIfTrue="1">
      <formula>$H$51</formula>
      <formula>$I$51</formula>
    </cfRule>
  </conditionalFormatting>
  <conditionalFormatting sqref="B51:F51">
    <cfRule type="expression" priority="4" dxfId="14" stopIfTrue="1">
      <formula>$J$52=1</formula>
    </cfRule>
  </conditionalFormatting>
  <conditionalFormatting sqref="E23 H23 B23">
    <cfRule type="expression" priority="5" dxfId="15" stopIfTrue="1">
      <formula>$E$22="valor total da obra"</formula>
    </cfRule>
  </conditionalFormatting>
  <conditionalFormatting sqref="B54:I54">
    <cfRule type="expression" priority="1" dxfId="16" stopIfTrue="1">
      <formula>$G$51&gt;$I$51</formula>
    </cfRule>
  </conditionalFormatting>
  <conditionalFormatting sqref="F5">
    <cfRule type="expression" priority="6" dxfId="17" stopIfTrue="1">
      <formula>$E$6=0</formula>
    </cfRule>
  </conditionalFormatting>
  <dataValidations count="9">
    <dataValidation type="list" allowBlank="1" showInputMessage="1" showErrorMessage="1" sqref="E6">
      <formula1>$Q$13:$Q$14</formula1>
    </dataValidation>
    <dataValidation type="list" allowBlank="1" showInputMessage="1" showErrorMessage="1" sqref="B15:D15">
      <formula1>CREACAU</formula1>
    </dataValidation>
    <dataValidation type="decimal" allowBlank="1" showInputMessage="1" showErrorMessage="1" error="O valor inserido está fora dos limites estabelecidos pelo acórdão 2622/2013 do TCU ou é inválido." sqref="G40:G41 G34:G38">
      <formula1>K40</formula1>
      <formula2>L40</formula2>
    </dataValidation>
    <dataValidation type="decimal" allowBlank="1" showInputMessage="1" showErrorMessage="1" sqref="E21">
      <formula1>G21</formula1>
      <formula2>H21</formula2>
    </dataValidation>
    <dataValidation type="list" allowBlank="1" showInputMessage="1" showErrorMessage="1" sqref="E10:F10">
      <formula1>$R$13:$R$14</formula1>
    </dataValidation>
    <dataValidation type="list" allowBlank="1" showInputMessage="1" showErrorMessage="1" sqref="B14:D14">
      <formula1>$S$13:$S$14</formula1>
    </dataValidation>
    <dataValidation type="list" allowBlank="1" showInputMessage="1" showErrorMessage="1" sqref="E19:F19">
      <formula1>$T$13:$T$14</formula1>
    </dataValidation>
    <dataValidation type="list" allowBlank="1" showInputMessage="1" showErrorMessage="1" sqref="E22:F22">
      <formula1>$U$13:$U$14</formula1>
    </dataValidation>
    <dataValidation type="list" allowBlank="1" showInputMessage="1" showErrorMessage="1" sqref="D31:I31">
      <formula1>$V$13:$V$18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</dc:creator>
  <cp:keywords/>
  <dc:description/>
  <cp:lastModifiedBy>rossa</cp:lastModifiedBy>
  <cp:lastPrinted>2022-02-09T12:18:32Z</cp:lastPrinted>
  <dcterms:created xsi:type="dcterms:W3CDTF">2006-07-20T13:36:46Z</dcterms:created>
  <dcterms:modified xsi:type="dcterms:W3CDTF">2022-05-12T16:39:22Z</dcterms:modified>
  <cp:category/>
  <cp:version/>
  <cp:contentType/>
  <cp:contentStatus/>
</cp:coreProperties>
</file>